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"/>
    </mc:Choice>
  </mc:AlternateContent>
  <bookViews>
    <workbookView xWindow="0" yWindow="0" windowWidth="20490" windowHeight="745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Resumen!$B$1:$O$86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I57" i="1" l="1"/>
  <c r="F57" i="1"/>
  <c r="H57" i="1" l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 s="1"/>
  <c r="H28" i="2" l="1"/>
  <c r="F58" i="6" l="1"/>
  <c r="H33" i="2" l="1"/>
  <c r="H32" i="2"/>
  <c r="H31" i="2"/>
  <c r="U60" i="1" l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U61" i="1" s="1"/>
  <c r="F42" i="1"/>
  <c r="F41" i="1"/>
  <c r="J42" i="1"/>
  <c r="E28" i="2" l="1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H30" i="2" s="1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D55" i="2" l="1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13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<sst xmlns="http://schemas.openxmlformats.org/spreadsheetml/2006/main" count="309" uniqueCount="133">
  <si>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</si>
  <si>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</si>
  <si>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</si>
  <si>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</si>
  <si>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</si>
  <si>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</si>
  <si>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</si>
  <si>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</si>
  <si>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</si>
  <si>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</si>
  <si>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</si>
  <si>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</si>
  <si>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</si>
  <si>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</si>
  <si>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</si>
  <si>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</si>
  <si>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</si>
  <si>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</si>
  <si>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</si>
  <si>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</si>
  <si>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</si>
  <si>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</si>
  <si>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</si>
  <si>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</si>
  <si>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</si>
  <si>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</si>
  <si>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</si>
  <si>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</si>
  <si>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</si>
  <si>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</si>
  <si>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</si>
  <si>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</si>
  <si>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</si>
  <si>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</si>
  <si>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</si>
  <si>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</si>
  <si>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</si>
  <si>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</si>
  <si>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</si>
  <si>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</si>
  <si>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</si>
  <si>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</si>
  <si>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</si>
  <si>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</si>
  <si>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</si>
  <si>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</si>
  <si>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</si>
  <si>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</si>
  <si>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</si>
  <si>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</si>
  <si>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</si>
  <si>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</si>
  <si>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</si>
  <si>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</si>
  <si>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</si>
  <si>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</si>
  <si>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</si>
  <si>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</si>
  <si>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</si>
  <si>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</si>
  <si>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</si>
  <si>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</si>
  <si>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</si>
  <si>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</si>
  <si>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</si>
  <si>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</si>
  <si>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</si>
  <si>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</si>
  <si>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</si>
  <si>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</si>
  <si>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</si>
  <si>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</si>
  <si>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</si>
  <si>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</si>
  <si>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</si>
  <si>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</si>
  <si>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</si>
  <si>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</si>
  <si>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</si>
  <si>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</si>
  <si>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</si>
  <si>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</si>
  <si>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</si>
  <si>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</si>
  <si>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</si>
  <si>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</si>
  <si>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</si>
  <si>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</si>
  <si>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</si>
  <si>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</si>
  <si>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</si>
  <si>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</si>
  <si>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</si>
  <si>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</si>
  <si>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</si>
  <si>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</si>
  <si>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</si>
  <si>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</si>
  <si>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</si>
  <si>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</si>
  <si>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</si>
  <si>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</si>
  <si>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</si>
  <si>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</si>
  <si>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</si>
  <si>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</si>
  <si>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</si>
  <si>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</si>
  <si>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</si>
  <si>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</si>
  <si>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</si>
  <si>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</si>
  <si>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</si>
  <si>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</si>
  <si>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</si>
  <si>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</si>
  <si>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</si>
  <si>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</si>
  <si>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</si>
  <si>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</si>
  <si>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2 : Producción de energía eléctrica nacional según sistema y mercado 2019 vs 2018</t>
  </si>
  <si>
    <t>Cuadro N° 3 : Producción de energía eléctrica nacional según  mercado 2019 vs 2018</t>
  </si>
  <si>
    <t>Cuadro N° 4 : Producción de energía eléctrica nacional según destino y recurso 2019 vs 2018</t>
  </si>
  <si>
    <t>Biomasa</t>
  </si>
  <si>
    <t>2.3 Producción de energía eléctrica (GWh) en las Centrales de Reserva Fría en el Mercado Eléctrico</t>
  </si>
  <si>
    <t>ACUMULADO</t>
  </si>
  <si>
    <t>1. RESUMEN NACIONAL AL MES DE NOVIEMBRE 2019</t>
  </si>
  <si>
    <t>Noviembre</t>
  </si>
  <si>
    <t>Acumulado Enero a Noviembre</t>
  </si>
  <si>
    <t>Grafico N° 11: Generación de energía eléctrica por Región, al mes de noviembre 2019</t>
  </si>
  <si>
    <t>Cuadro N° 8: Producción de energía eléctrica nacional por zona del país, al mes de noviembre</t>
  </si>
  <si>
    <t>3.2 Producción de energía eléctrica (GWh) por origen y zona al mes de noviembre 2019</t>
  </si>
  <si>
    <t>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</si>
</sst>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2" xfId="33743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91" fillId="69" borderId="0" xfId="0" applyFont="1" applyFill="1" applyBorder="1" applyAlignment="1">
      <alignment horizontal="center"/>
    </xf>
    <xf numFmtId="0" fontId="91" fillId="69" borderId="59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94" fillId="70" borderId="67" xfId="0" applyNumberFormat="1" applyFont="1" applyFill="1" applyBorder="1" applyAlignment="1">
      <alignment horizontal="center" vertical="center"/>
    </xf>
    <xf numFmtId="3" fontId="94" fillId="70" borderId="71" xfId="0" applyNumberFormat="1" applyFont="1" applyFill="1" applyBorder="1" applyAlignment="1">
      <alignment horizontal="center" vertical="center"/>
    </xf>
    <xf numFmtId="178" fontId="97" fillId="70" borderId="31" xfId="33743" applyNumberFormat="1" applyFont="1" applyFill="1" applyBorder="1" applyAlignment="1">
      <alignment horizontal="center" vertical="center"/>
    </xf>
    <xf numFmtId="178" fontId="97" fillId="70" borderId="68" xfId="33743" applyNumberFormat="1" applyFont="1" applyFill="1" applyBorder="1" applyAlignment="1">
      <alignment horizontal="center" vertical="center"/>
    </xf>
    <xf numFmtId="178" fontId="97" fillId="70" borderId="72" xfId="33743" applyNumberFormat="1" applyFont="1" applyFill="1" applyBorder="1" applyAlignment="1">
      <alignment horizontal="center" vertical="center"/>
    </xf>
    <xf numFmtId="10" fontId="94" fillId="70" borderId="69" xfId="33743" applyNumberFormat="1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0" xfId="0" applyFont="1" applyFill="1" applyBorder="1" applyAlignment="1">
      <alignment horizontal="center"/>
    </xf>
    <xf numFmtId="3" fontId="94" fillId="70" borderId="39" xfId="0" applyNumberFormat="1" applyFont="1" applyFill="1" applyBorder="1"/>
    <xf numFmtId="0" fontId="94" fillId="70" borderId="14" xfId="0" applyFont="1" applyFill="1" applyBorder="1" applyAlignment="1">
      <alignment horizontal="center"/>
    </xf>
    <xf numFmtId="0" fontId="94" fillId="70" borderId="36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5" xfId="33743" applyNumberFormat="1" applyFont="1" applyFill="1" applyBorder="1"/>
    <xf numFmtId="0" fontId="98" fillId="0" borderId="16" xfId="0" applyFont="1" applyBorder="1"/>
    <xf numFmtId="0" fontId="98" fillId="0" borderId="73" xfId="0" applyFont="1" applyBorder="1"/>
    <xf numFmtId="0" fontId="98" fillId="0" borderId="73" xfId="0" applyNumberFormat="1" applyFont="1" applyBorder="1" applyAlignment="1">
      <alignment vertical="center"/>
    </xf>
    <xf numFmtId="0" fontId="98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2" fillId="69" borderId="15" xfId="0" applyFont="1" applyFill="1" applyBorder="1" applyAlignment="1"/>
    <xf numFmtId="0" fontId="91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9" fontId="102" fillId="68" borderId="44" xfId="33743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3" fillId="68" borderId="31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1" fillId="68" borderId="30" xfId="0" applyFont="1" applyFill="1" applyBorder="1" applyAlignment="1">
      <alignment horizontal="center"/>
    </xf>
    <xf numFmtId="0" fontId="91" fillId="68" borderId="35" xfId="0" applyFont="1" applyFill="1" applyBorder="1" applyAlignment="1">
      <alignment horizontal="center"/>
    </xf>
    <xf numFmtId="0" fontId="103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5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5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5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1" borderId="16" xfId="0" applyFont="1" applyFill="1" applyBorder="1" applyAlignment="1">
      <alignment horizontal="right" vertical="center"/>
    </xf>
    <xf numFmtId="0" fontId="2" fillId="71" borderId="25" xfId="0" applyFont="1" applyFill="1" applyBorder="1" applyAlignment="1">
      <alignment horizontal="center" wrapText="1"/>
    </xf>
    <xf numFmtId="0" fontId="2" fillId="71" borderId="40" xfId="0" applyFont="1" applyFill="1" applyBorder="1" applyAlignment="1">
      <alignment horizontal="center" wrapText="1"/>
    </xf>
    <xf numFmtId="0" fontId="2" fillId="71" borderId="28" xfId="0" applyFont="1" applyFill="1" applyBorder="1" applyAlignment="1">
      <alignment horizontal="center" vertical="center"/>
    </xf>
    <xf numFmtId="9" fontId="95" fillId="71" borderId="43" xfId="33743" applyFont="1" applyFill="1" applyBorder="1" applyAlignment="1">
      <alignment horizontal="center" vertical="center"/>
    </xf>
    <xf numFmtId="0" fontId="2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5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5" fillId="71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8" xfId="33743" applyNumberFormat="1" applyFont="1" applyFill="1" applyBorder="1"/>
    <xf numFmtId="3" fontId="92" fillId="68" borderId="60" xfId="0" applyNumberFormat="1" applyFont="1" applyFill="1" applyBorder="1"/>
    <xf numFmtId="9" fontId="75" fillId="68" borderId="25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1" xfId="0" applyNumberFormat="1" applyFont="1" applyFill="1" applyBorder="1"/>
    <xf numFmtId="9" fontId="75" fillId="68" borderId="32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5" xfId="33743" applyNumberFormat="1" applyFont="1" applyFill="1" applyBorder="1"/>
    <xf numFmtId="3" fontId="92" fillId="68" borderId="76" xfId="0" applyNumberFormat="1" applyFont="1" applyFill="1" applyBorder="1"/>
    <xf numFmtId="9" fontId="75" fillId="68" borderId="26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39" xfId="0" applyNumberFormat="1" applyFont="1" applyFill="1" applyBorder="1"/>
    <xf numFmtId="3" fontId="94" fillId="69" borderId="62" xfId="0" applyNumberFormat="1" applyFont="1" applyFill="1" applyBorder="1"/>
    <xf numFmtId="178" fontId="97" fillId="69" borderId="58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79" xfId="0" applyNumberFormat="1" applyFont="1" applyBorder="1"/>
    <xf numFmtId="180" fontId="0" fillId="68" borderId="28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5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39" xfId="33744" applyNumberFormat="1" applyFont="1" applyFill="1" applyBorder="1"/>
    <xf numFmtId="180" fontId="94" fillId="70" borderId="55" xfId="33744" applyNumberFormat="1" applyFont="1" applyFill="1" applyBorder="1"/>
    <xf numFmtId="3" fontId="98" fillId="0" borderId="28" xfId="0" applyNumberFormat="1" applyFont="1" applyBorder="1"/>
    <xf numFmtId="3" fontId="98" fillId="0" borderId="78" xfId="0" applyNumberFormat="1" applyFont="1" applyBorder="1"/>
    <xf numFmtId="9" fontId="75" fillId="0" borderId="16" xfId="33743" applyFont="1" applyBorder="1"/>
    <xf numFmtId="9" fontId="75" fillId="0" borderId="73" xfId="33743" applyFont="1" applyBorder="1"/>
    <xf numFmtId="9" fontId="75" fillId="0" borderId="74" xfId="33743" applyFont="1" applyBorder="1"/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39" xfId="0" applyNumberFormat="1" applyFont="1" applyFill="1" applyBorder="1"/>
    <xf numFmtId="0" fontId="91" fillId="69" borderId="80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1" fillId="0" borderId="82" xfId="0" applyFont="1" applyBorder="1" applyAlignment="1">
      <alignment horizontal="center"/>
    </xf>
    <xf numFmtId="0" fontId="91" fillId="69" borderId="82" xfId="0" applyFont="1" applyFill="1" applyBorder="1" applyAlignment="1">
      <alignment horizontal="center"/>
    </xf>
    <xf numFmtId="3" fontId="98" fillId="0" borderId="86" xfId="0" applyNumberFormat="1" applyFont="1" applyBorder="1"/>
    <xf numFmtId="3" fontId="98" fillId="0" borderId="87" xfId="0" applyNumberFormat="1" applyFont="1" applyBorder="1"/>
    <xf numFmtId="3" fontId="98" fillId="0" borderId="88" xfId="0" applyNumberFormat="1" applyFont="1" applyBorder="1"/>
    <xf numFmtId="3" fontId="94" fillId="70" borderId="85" xfId="0" applyNumberFormat="1" applyFont="1" applyFill="1" applyBorder="1"/>
    <xf numFmtId="178" fontId="97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4" fillId="70" borderId="98" xfId="0" applyNumberFormat="1" applyFont="1" applyFill="1" applyBorder="1" applyAlignment="1">
      <alignment horizontal="center" vertical="center"/>
    </xf>
    <xf numFmtId="178" fontId="97" fillId="70" borderId="99" xfId="33743" applyNumberFormat="1" applyFont="1" applyFill="1" applyBorder="1" applyAlignment="1">
      <alignment horizontal="center" vertical="center"/>
    </xf>
    <xf numFmtId="0" fontId="91" fillId="69" borderId="100" xfId="0" applyFont="1" applyFill="1" applyBorder="1" applyAlignment="1">
      <alignment horizontal="center"/>
    </xf>
    <xf numFmtId="3" fontId="2" fillId="69" borderId="85" xfId="0" applyNumberFormat="1" applyFont="1" applyFill="1" applyBorder="1"/>
    <xf numFmtId="3" fontId="0" fillId="0" borderId="0" xfId="0" applyNumberFormat="1"/>
    <xf numFmtId="3" fontId="99" fillId="0" borderId="0" xfId="0" applyNumberFormat="1" applyFont="1" applyBorder="1"/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 applyAlignment="1"/>
    <xf numFmtId="0" fontId="105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5" fillId="68" borderId="32" xfId="33743" applyNumberFormat="1" applyFont="1" applyFill="1" applyBorder="1" applyAlignment="1">
      <alignment horizontal="center"/>
    </xf>
    <xf numFmtId="9" fontId="95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99" fillId="62" borderId="0" xfId="0" applyNumberFormat="1" applyFont="1" applyFill="1" applyBorder="1"/>
    <xf numFmtId="3" fontId="98" fillId="0" borderId="60" xfId="0" applyNumberFormat="1" applyFont="1" applyBorder="1"/>
    <xf numFmtId="3" fontId="98" fillId="0" borderId="108" xfId="0" applyNumberFormat="1" applyFont="1" applyBorder="1"/>
    <xf numFmtId="3" fontId="98" fillId="0" borderId="109" xfId="0" applyNumberFormat="1" applyFont="1" applyBorder="1"/>
    <xf numFmtId="3" fontId="94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4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4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4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5" fillId="0" borderId="73" xfId="33743" applyNumberFormat="1" applyFont="1" applyBorder="1"/>
    <xf numFmtId="9" fontId="95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2" fillId="70" borderId="51" xfId="0" applyFont="1" applyFill="1" applyBorder="1" applyAlignment="1">
      <alignment horizontal="center" vertical="center"/>
    </xf>
    <xf numFmtId="0" fontId="2" fillId="70" borderId="49" xfId="0" applyFont="1" applyFill="1" applyBorder="1" applyAlignment="1">
      <alignment horizontal="center" vertical="center"/>
    </xf>
    <xf numFmtId="0" fontId="2" fillId="70" borderId="57" xfId="0" applyFont="1" applyFill="1" applyBorder="1" applyAlignment="1">
      <alignment horizontal="center" vertical="center"/>
    </xf>
    <xf numFmtId="3" fontId="2" fillId="69" borderId="55" xfId="0" applyNumberFormat="1" applyFont="1" applyFill="1" applyBorder="1" applyAlignment="1">
      <alignment vertical="center"/>
    </xf>
    <xf numFmtId="3" fontId="2" fillId="69" borderId="62" xfId="0" applyNumberFormat="1" applyFont="1" applyFill="1" applyBorder="1" applyAlignment="1">
      <alignment vertical="center"/>
    </xf>
    <xf numFmtId="178" fontId="95" fillId="69" borderId="58" xfId="33743" applyNumberFormat="1" applyFont="1" applyFill="1" applyBorder="1" applyAlignment="1">
      <alignment horizontal="center" vertical="center"/>
    </xf>
    <xf numFmtId="3" fontId="2" fillId="69" borderId="85" xfId="0" applyNumberFormat="1" applyFont="1" applyFill="1" applyBorder="1" applyAlignment="1">
      <alignment vertical="center"/>
    </xf>
    <xf numFmtId="178" fontId="95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4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5" fillId="68" borderId="116" xfId="33743" applyNumberFormat="1" applyFont="1" applyFill="1" applyBorder="1" applyAlignment="1">
      <alignment horizontal="center"/>
    </xf>
    <xf numFmtId="178" fontId="75" fillId="0" borderId="73" xfId="33743" applyNumberFormat="1" applyFont="1" applyBorder="1"/>
    <xf numFmtId="167" fontId="98" fillId="0" borderId="108" xfId="0" applyNumberFormat="1" applyFont="1" applyBorder="1"/>
    <xf numFmtId="9" fontId="102" fillId="71" borderId="26" xfId="33743" applyNumberFormat="1" applyFont="1" applyFill="1" applyBorder="1" applyAlignment="1">
      <alignment horizontal="center"/>
    </xf>
    <xf numFmtId="9" fontId="102" fillId="71" borderId="95" xfId="33743" applyNumberFormat="1" applyFont="1" applyFill="1" applyBorder="1" applyAlignment="1">
      <alignment horizontal="center"/>
    </xf>
    <xf numFmtId="178" fontId="95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182" fontId="0" fillId="68" borderId="30" xfId="0" applyNumberFormat="1" applyFill="1" applyBorder="1"/>
    <xf numFmtId="3" fontId="99" fillId="0" borderId="0" xfId="0" applyNumberFormat="1" applyFont="1" applyFill="1" applyBorder="1" applyAlignment="1"/>
    <xf numFmtId="0" fontId="101" fillId="61" borderId="0" xfId="0" applyFont="1" applyFill="1" applyBorder="1"/>
    <xf numFmtId="1" fontId="99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5" xfId="0" applyNumberFormat="1" applyFill="1" applyBorder="1"/>
    <xf numFmtId="3" fontId="0" fillId="68" borderId="117" xfId="0" applyNumberFormat="1" applyFill="1" applyBorder="1"/>
    <xf numFmtId="178" fontId="95" fillId="68" borderId="25" xfId="33743" applyNumberFormat="1" applyFont="1" applyFill="1" applyBorder="1" applyAlignment="1">
      <alignment horizontal="center" vertical="center"/>
    </xf>
    <xf numFmtId="3" fontId="0" fillId="0" borderId="103" xfId="0" applyNumberFormat="1" applyFill="1" applyBorder="1"/>
    <xf numFmtId="182" fontId="0" fillId="68" borderId="60" xfId="0" applyNumberFormat="1" applyFill="1" applyBorder="1"/>
    <xf numFmtId="3" fontId="0" fillId="68" borderId="63" xfId="0" applyNumberFormat="1" applyFill="1" applyBorder="1"/>
    <xf numFmtId="3" fontId="2" fillId="69" borderId="62" xfId="0" applyNumberFormat="1" applyFont="1" applyFill="1" applyBorder="1"/>
    <xf numFmtId="3" fontId="0" fillId="68" borderId="60" xfId="0" applyNumberFormat="1" applyFill="1" applyBorder="1"/>
    <xf numFmtId="178" fontId="75" fillId="68" borderId="32" xfId="33743" applyNumberFormat="1" applyFont="1" applyFill="1" applyBorder="1"/>
    <xf numFmtId="0" fontId="94" fillId="70" borderId="19" xfId="0" applyFont="1" applyFill="1" applyBorder="1" applyAlignment="1">
      <alignment horizontal="center" vertical="center"/>
    </xf>
    <xf numFmtId="178" fontId="95" fillId="68" borderId="104" xfId="33743" applyNumberFormat="1" applyFont="1" applyFill="1" applyBorder="1" applyAlignment="1">
      <alignment horizontal="center"/>
    </xf>
    <xf numFmtId="10" fontId="95" fillId="68" borderId="32" xfId="33743" applyNumberFormat="1" applyFont="1" applyFill="1" applyBorder="1" applyAlignment="1">
      <alignment horizontal="center"/>
    </xf>
    <xf numFmtId="178" fontId="95" fillId="68" borderId="32" xfId="33743" applyNumberFormat="1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71" borderId="21" xfId="0" applyFont="1" applyFill="1" applyBorder="1" applyAlignment="1">
      <alignment horizontal="center"/>
    </xf>
    <xf numFmtId="0" fontId="2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2" fillId="68" borderId="46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103" fillId="0" borderId="3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2" fillId="68" borderId="81" xfId="0" applyFont="1" applyFill="1" applyBorder="1" applyAlignment="1">
      <alignment horizontal="center"/>
    </xf>
    <xf numFmtId="0" fontId="102" fillId="68" borderId="47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68" borderId="51" xfId="0" applyFont="1" applyFill="1" applyBorder="1" applyAlignment="1">
      <alignment horizontal="center"/>
    </xf>
    <xf numFmtId="0" fontId="102" fillId="69" borderId="81" xfId="0" applyFont="1" applyFill="1" applyBorder="1" applyAlignment="1">
      <alignment horizontal="center"/>
    </xf>
    <xf numFmtId="0" fontId="102" fillId="69" borderId="54" xfId="0" applyFont="1" applyFill="1" applyBorder="1" applyAlignment="1">
      <alignment horizont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51" xfId="0" applyFont="1" applyFill="1" applyBorder="1" applyAlignment="1">
      <alignment horizontal="center" vertical="center"/>
    </xf>
    <xf numFmtId="0" fontId="2" fillId="70" borderId="64" xfId="0" applyFont="1" applyFill="1" applyBorder="1" applyAlignment="1">
      <alignment horizontal="center" vertical="center"/>
    </xf>
    <xf numFmtId="0" fontId="2" fillId="69" borderId="54" xfId="0" applyFont="1" applyFill="1" applyBorder="1" applyAlignment="1">
      <alignment horizontal="center" vertic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  <xf numFmtId="0" fontId="2" fillId="69" borderId="46" xfId="0" applyFont="1" applyFill="1" applyBorder="1" applyAlignment="1">
      <alignment horizontal="center"/>
    </xf>
    <xf numFmtId="0" fontId="2" fillId="69" borderId="54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43" fontId="0" fillId="0" borderId="0" xfId="33743" applyNumberFormat="1" applyFont="1" applyBorder="1"/>
    <xf numFmtId="10" fontId="95" fillId="71" borderId="33" xfId="33743" applyNumberFormat="1" applyFont="1" applyFill="1" applyBorder="1" applyAlignment="1">
      <alignment horizont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Noviembre 2019</a:t>
            </a:r>
          </a:p>
          <a:p>
            <a:pPr>
              <a:defRPr sz="800" b="1"/>
            </a:pPr>
            <a:r>
              <a:rPr lang="es-PE" sz="800" b="1"/>
              <a:t>Total : 4 758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63.087980289296326</c:v>
                </c:pt>
                <c:pt idx="1">
                  <c:v>179.55809774645874</c:v>
                </c:pt>
                <c:pt idx="2">
                  <c:v>2565.1338650713528</c:v>
                </c:pt>
                <c:pt idx="3">
                  <c:v>1746.2928358930897</c:v>
                </c:pt>
                <c:pt idx="4">
                  <c:v>203.69345699499993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2149.4926931847808</c:v>
                </c:pt>
                <c:pt idx="2">
                  <c:v>0</c:v>
                </c:pt>
                <c:pt idx="3">
                  <c:v>1749.9297903863344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58.577699565000003</c:v>
                </c:pt>
                <c:pt idx="1">
                  <c:v>354.13546306405283</c:v>
                </c:pt>
                <c:pt idx="2">
                  <c:v>75.155877332499983</c:v>
                </c:pt>
                <c:pt idx="3">
                  <c:v>37.614852051521268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80.892561169054943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3899.4224835711152</c:v>
                </c:pt>
                <c:pt idx="1">
                  <c:v>525.48389201307407</c:v>
                </c:pt>
                <c:pt idx="2">
                  <c:v>251.9672992419566</c:v>
                </c:pt>
                <c:pt idx="3">
                  <c:v>80.892561169054943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564000"/>
        <c:axId val="495569096"/>
      </c:barChart>
      <c:catAx>
        <c:axId val="4955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5569096"/>
        <c:crosses val="autoZero"/>
        <c:auto val="1"/>
        <c:lblAlgn val="ctr"/>
        <c:lblOffset val="100"/>
        <c:noMultiLvlLbl val="0"/>
      </c:catAx>
      <c:valAx>
        <c:axId val="49556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556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ICA</c:v>
                </c:pt>
                <c:pt idx="5">
                  <c:v>CUSCO</c:v>
                </c:pt>
                <c:pt idx="6">
                  <c:v>PIURA</c:v>
                </c:pt>
                <c:pt idx="7">
                  <c:v>ANCASH</c:v>
                </c:pt>
                <c:pt idx="8">
                  <c:v>AREQUIPA</c:v>
                </c:pt>
                <c:pt idx="9">
                  <c:v>HUANUCO</c:v>
                </c:pt>
                <c:pt idx="10">
                  <c:v>LORETO</c:v>
                </c:pt>
                <c:pt idx="11">
                  <c:v>MOQUEGUA</c:v>
                </c:pt>
                <c:pt idx="12">
                  <c:v>PUNO</c:v>
                </c:pt>
                <c:pt idx="13">
                  <c:v>LA LIBERTAD</c:v>
                </c:pt>
                <c:pt idx="14">
                  <c:v>UCAYALI</c:v>
                </c:pt>
                <c:pt idx="15">
                  <c:v>PASCO</c:v>
                </c:pt>
                <c:pt idx="16">
                  <c:v>CAJAMARCA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2291.7923792314336</c:v>
                </c:pt>
                <c:pt idx="1">
                  <c:v>776.86202707368295</c:v>
                </c:pt>
                <c:pt idx="2">
                  <c:v>328.66955183223638</c:v>
                </c:pt>
                <c:pt idx="3">
                  <c:v>183.04344523599664</c:v>
                </c:pt>
                <c:pt idx="4">
                  <c:v>141.5090924282776</c:v>
                </c:pt>
                <c:pt idx="5">
                  <c:v>139.89565010449024</c:v>
                </c:pt>
                <c:pt idx="6">
                  <c:v>125.51328842498452</c:v>
                </c:pt>
                <c:pt idx="7">
                  <c:v>111.29135067937814</c:v>
                </c:pt>
                <c:pt idx="8">
                  <c:v>94.594395305602347</c:v>
                </c:pt>
                <c:pt idx="9">
                  <c:v>88.596091460037528</c:v>
                </c:pt>
                <c:pt idx="10">
                  <c:v>80.892561169054943</c:v>
                </c:pt>
                <c:pt idx="11">
                  <c:v>67.78043286967501</c:v>
                </c:pt>
                <c:pt idx="12">
                  <c:v>65.233074148587718</c:v>
                </c:pt>
                <c:pt idx="13">
                  <c:v>62.395397177479246</c:v>
                </c:pt>
                <c:pt idx="14">
                  <c:v>59.856676848547067</c:v>
                </c:pt>
                <c:pt idx="15">
                  <c:v>59.310961209802777</c:v>
                </c:pt>
                <c:pt idx="16">
                  <c:v>50.540237822106796</c:v>
                </c:pt>
                <c:pt idx="17">
                  <c:v>12.669435645299011</c:v>
                </c:pt>
                <c:pt idx="18">
                  <c:v>6.3235780316646304</c:v>
                </c:pt>
                <c:pt idx="19">
                  <c:v>3.8077415841312301</c:v>
                </c:pt>
                <c:pt idx="20">
                  <c:v>2.6823106027220578</c:v>
                </c:pt>
                <c:pt idx="21">
                  <c:v>2.2582352688028622</c:v>
                </c:pt>
                <c:pt idx="22">
                  <c:v>1.1288209327873437</c:v>
                </c:pt>
                <c:pt idx="23">
                  <c:v>0.86834333179693612</c:v>
                </c:pt>
                <c:pt idx="24">
                  <c:v>0.25115757662314236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95569880"/>
        <c:axId val="495564784"/>
      </c:barChart>
      <c:catAx>
        <c:axId val="49556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5564784"/>
        <c:crosses val="autoZero"/>
        <c:auto val="1"/>
        <c:lblAlgn val="ctr"/>
        <c:lblOffset val="100"/>
        <c:noMultiLvlLbl val="0"/>
      </c:catAx>
      <c:valAx>
        <c:axId val="495564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5569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Resumen!$R$39:$R$42</c:f>
              <c:numCache>
                <c:formatCode>#,##0</c:formatCode>
                <c:ptCount val="4"/>
                <c:pt idx="0">
                  <c:v>2705.5542118575008</c:v>
                </c:pt>
                <c:pt idx="1">
                  <c:v>1720.6327013720422</c:v>
                </c:pt>
                <c:pt idx="2">
                  <c:v>140.08023553333334</c:v>
                </c:pt>
                <c:pt idx="3">
                  <c:v>76.712831999999992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Resumen!$S$39:$S$42</c:f>
              <c:numCache>
                <c:formatCode>#,##0</c:formatCode>
                <c:ptCount val="4"/>
                <c:pt idx="0">
                  <c:v>2628.2218453606492</c:v>
                </c:pt>
                <c:pt idx="1">
                  <c:v>1925.8509336395484</c:v>
                </c:pt>
                <c:pt idx="2">
                  <c:v>128.53757966249995</c:v>
                </c:pt>
                <c:pt idx="3">
                  <c:v>75.155877332499983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76784"/>
        <c:axId val="446475608"/>
      </c:barChart>
      <c:catAx>
        <c:axId val="44647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5608"/>
        <c:crosses val="autoZero"/>
        <c:auto val="1"/>
        <c:lblAlgn val="ctr"/>
        <c:lblOffset val="100"/>
        <c:noMultiLvlLbl val="0"/>
      </c:catAx>
      <c:valAx>
        <c:axId val="4464756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Resumen!$R$24:$S$24</c:f>
              <c:numCache>
                <c:formatCode>#,##0</c:formatCode>
                <c:ptCount val="2"/>
                <c:pt idx="0">
                  <c:v>231.80590051761934</c:v>
                </c:pt>
                <c:pt idx="1">
                  <c:v>238.26770513604677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Resumen!$R$25:$S$25</c:f>
              <c:numCache>
                <c:formatCode>#,##0</c:formatCode>
                <c:ptCount val="2"/>
                <c:pt idx="0">
                  <c:v>4411.1740802452578</c:v>
                </c:pt>
                <c:pt idx="1">
                  <c:v>4519.4985308591504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473256"/>
        <c:axId val="446474824"/>
        <c:axId val="487456832"/>
      </c:bar3DChart>
      <c:catAx>
        <c:axId val="44647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4824"/>
        <c:crosses val="autoZero"/>
        <c:auto val="1"/>
        <c:lblAlgn val="ctr"/>
        <c:lblOffset val="100"/>
        <c:noMultiLvlLbl val="0"/>
      </c:catAx>
      <c:valAx>
        <c:axId val="44647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3256"/>
        <c:crosses val="autoZero"/>
        <c:crossBetween val="between"/>
      </c:valAx>
      <c:serAx>
        <c:axId val="487456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Resumen!$T$58:$U$58</c:f>
              <c:numCache>
                <c:formatCode>#,##0</c:formatCode>
                <c:ptCount val="2"/>
                <c:pt idx="0">
                  <c:v>2562.3947526125007</c:v>
                </c:pt>
                <c:pt idx="1">
                  <c:v>2441.3277065531493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Resumen!$T$59:$U$59</c:f>
              <c:numCache>
                <c:formatCode>#,##0</c:formatCode>
                <c:ptCount val="2"/>
                <c:pt idx="0">
                  <c:v>1678.7874283720423</c:v>
                </c:pt>
                <c:pt idx="1">
                  <c:v>1879.3787151847048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Resumen!$T$60:$U$60</c:f>
              <c:numCache>
                <c:formatCode>#,##0</c:formatCode>
                <c:ptCount val="2"/>
                <c:pt idx="0">
                  <c:v>143.15945924499999</c:v>
                </c:pt>
                <c:pt idx="1">
                  <c:v>186.89413880750016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Resumen!$T$61:$U$61</c:f>
              <c:numCache>
                <c:formatCode>#,##0</c:formatCode>
                <c:ptCount val="2"/>
                <c:pt idx="0">
                  <c:v>258.63834053333335</c:v>
                </c:pt>
                <c:pt idx="1">
                  <c:v>250.16567544984343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6476392"/>
        <c:axId val="446471688"/>
        <c:axId val="0"/>
      </c:bar3DChart>
      <c:catAx>
        <c:axId val="446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1688"/>
        <c:crosses val="autoZero"/>
        <c:auto val="1"/>
        <c:lblAlgn val="ctr"/>
        <c:lblOffset val="100"/>
        <c:noMultiLvlLbl val="0"/>
      </c:catAx>
      <c:valAx>
        <c:axId val="44647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6392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2628.2218453606492</c:v>
                </c:pt>
                <c:pt idx="1">
                  <c:v>1797.7955641346298</c:v>
                </c:pt>
                <c:pt idx="2">
                  <c:v>81.281686946623267</c:v>
                </c:pt>
                <c:pt idx="3">
                  <c:v>46.4722184548435</c:v>
                </c:pt>
                <c:pt idx="4">
                  <c:v>128.53757966249995</c:v>
                </c:pt>
                <c:pt idx="5">
                  <c:v>75.155877332499983</c:v>
                </c:pt>
                <c:pt idx="6" formatCode="#,##0.0">
                  <c:v>0.30146410345161367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6477176"/>
        <c:axId val="446470120"/>
      </c:barChart>
      <c:catAx>
        <c:axId val="44647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0120"/>
        <c:crosses val="autoZero"/>
        <c:auto val="1"/>
        <c:lblAlgn val="ctr"/>
        <c:lblOffset val="100"/>
        <c:noMultiLvlLbl val="0"/>
      </c:catAx>
      <c:valAx>
        <c:axId val="4464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4384.3416402295434</c:v>
                </c:pt>
                <c:pt idx="1">
                  <c:v>4507.6005605453538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258.63834053333335</c:v>
                </c:pt>
                <c:pt idx="1">
                  <c:v>250.16567544984343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46470904"/>
        <c:axId val="446472080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76645806482544E-2"/>
                  <c:y val="2.206188567375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42725116544E-2"/>
                  <c:y val="3.524631606362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5.5705245683794029E-2</c:v>
                </c:pt>
                <c:pt idx="1">
                  <c:v>5.258048904487958E-2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72864"/>
        <c:axId val="446472472"/>
      </c:lineChart>
      <c:catAx>
        <c:axId val="4464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2080"/>
        <c:crosses val="autoZero"/>
        <c:auto val="1"/>
        <c:lblAlgn val="ctr"/>
        <c:lblOffset val="100"/>
        <c:noMultiLvlLbl val="1"/>
      </c:catAx>
      <c:valAx>
        <c:axId val="44647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0904"/>
        <c:crosses val="autoZero"/>
        <c:crossBetween val="between"/>
        <c:majorUnit val="1000"/>
      </c:valAx>
      <c:valAx>
        <c:axId val="44647247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2864"/>
        <c:crosses val="max"/>
        <c:crossBetween val="between"/>
      </c:valAx>
      <c:catAx>
        <c:axId val="44647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6472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2705.5542118575008</c:v>
                </c:pt>
                <c:pt idx="1">
                  <c:v>1551.8227460000001</c:v>
                </c:pt>
                <c:pt idx="2">
                  <c:v>126.53516237204258</c:v>
                </c:pt>
                <c:pt idx="3" formatCode="#,##0.00">
                  <c:v>0.42951999999999996</c:v>
                </c:pt>
                <c:pt idx="4">
                  <c:v>41.84527300000002</c:v>
                </c:pt>
                <c:pt idx="5">
                  <c:v>140.08023553333334</c:v>
                </c:pt>
                <c:pt idx="6">
                  <c:v>76.712831999999992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2628.2218453606492</c:v>
                </c:pt>
                <c:pt idx="1">
                  <c:v>1797.7955641346298</c:v>
                </c:pt>
                <c:pt idx="2">
                  <c:v>81.281686946623267</c:v>
                </c:pt>
                <c:pt idx="3" formatCode="#,##0.00">
                  <c:v>0.30146410345161367</c:v>
                </c:pt>
                <c:pt idx="4">
                  <c:v>46.4722184548435</c:v>
                </c:pt>
                <c:pt idx="5">
                  <c:v>128.53757966249995</c:v>
                </c:pt>
                <c:pt idx="6">
                  <c:v>75.155877332499983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69.959880097499948</c:v>
                </c:pt>
                <c:pt idx="1">
                  <c:v>124.5936891118167</c:v>
                </c:pt>
                <c:pt idx="2">
                  <c:v>0</c:v>
                </c:pt>
                <c:pt idx="3">
                  <c:v>57.413730032639933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noviembre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188664"/>
          <a:ext cx="6624357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4762</xdr:colOff>
      <xdr:row>61</xdr:row>
      <xdr:rowOff>23813</xdr:rowOff>
    </xdr:from>
    <xdr:to>
      <xdr:col>8</xdr:col>
      <xdr:colOff>144065</xdr:colOff>
      <xdr:row>70</xdr:row>
      <xdr:rowOff>45244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33D9356-7DA4-46CB-9FFF-22B755365656}"/>
            </a:ext>
          </a:extLst>
        </xdr:cNvPr>
        <xdr:cNvGrpSpPr/>
      </xdr:nvGrpSpPr>
      <xdr:grpSpPr>
        <a:xfrm>
          <a:off x="400050" y="3268436"/>
          <a:ext cx="4341202" cy="5497284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F050816-9D44-4E6B-8468-B7C1BCBFF582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3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A8" zoomScale="90" zoomScaleNormal="120" zoomScaleSheetLayoutView="90" workbookViewId="0">
      <selection activeCell="G25" sqref="G25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126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119</v>
      </c>
    </row>
    <row r="8" spans="2:19" s="1" customFormat="1">
      <c r="B8" s="8"/>
      <c r="C8" s="133"/>
      <c r="D8" s="133"/>
      <c r="E8" s="133"/>
      <c r="F8" s="133"/>
      <c r="G8" s="133"/>
      <c r="H8" s="9"/>
      <c r="I8" s="9"/>
      <c r="J8" s="9"/>
      <c r="K8" s="9"/>
    </row>
    <row r="9" spans="2:19" s="1" customFormat="1" ht="25.5">
      <c r="B9" s="8"/>
      <c r="C9" s="187" t="s">
        <v>63</v>
      </c>
      <c r="D9" s="188" t="s">
        <v>70</v>
      </c>
      <c r="E9" s="189" t="s">
        <v>71</v>
      </c>
      <c r="F9" s="190" t="s">
        <v>72</v>
      </c>
      <c r="G9" s="191" t="s">
        <v>73</v>
      </c>
      <c r="H9" s="9"/>
      <c r="I9" s="9"/>
      <c r="J9" s="9"/>
      <c r="K9" s="9"/>
    </row>
    <row r="10" spans="2:19" s="1" customFormat="1" ht="13.5" thickBot="1">
      <c r="B10" s="8"/>
      <c r="C10" s="192" t="s">
        <v>64</v>
      </c>
      <c r="D10" s="193"/>
      <c r="E10" s="194"/>
      <c r="F10" s="195"/>
      <c r="G10" s="196"/>
      <c r="H10" s="9"/>
      <c r="I10" s="9"/>
      <c r="J10" s="9"/>
      <c r="K10" s="9"/>
    </row>
    <row r="11" spans="2:19" s="1" customFormat="1" ht="13.5" thickTop="1">
      <c r="B11" s="8"/>
      <c r="C11" s="134"/>
      <c r="D11" s="135"/>
      <c r="E11" s="136"/>
      <c r="F11" s="137"/>
      <c r="G11" s="138"/>
      <c r="H11" s="9"/>
      <c r="I11" s="9"/>
      <c r="J11" s="9"/>
      <c r="K11" s="9"/>
      <c r="Q11" s="369" t="s">
        <v>65</v>
      </c>
      <c r="R11" s="150" t="s">
        <v>41</v>
      </c>
      <c r="S11" s="151">
        <f>E12</f>
        <v>63.087980289296326</v>
      </c>
    </row>
    <row r="12" spans="2:19" s="1" customFormat="1">
      <c r="B12" s="8"/>
      <c r="C12" s="139" t="s">
        <v>67</v>
      </c>
      <c r="D12" s="140">
        <v>2565.1338650713528</v>
      </c>
      <c r="E12" s="141">
        <v>63.087980289296326</v>
      </c>
      <c r="F12" s="142">
        <f>SUM(D12:E12)</f>
        <v>2628.2218453606492</v>
      </c>
      <c r="G12" s="143">
        <f>(F12/F$16)</f>
        <v>0.5524066788899088</v>
      </c>
      <c r="H12" s="9"/>
      <c r="I12" s="9"/>
      <c r="J12" s="9"/>
      <c r="K12" s="9"/>
      <c r="Q12" s="369"/>
      <c r="R12" s="150" t="s">
        <v>74</v>
      </c>
      <c r="S12" s="151">
        <f>E13</f>
        <v>179.55809774645874</v>
      </c>
    </row>
    <row r="13" spans="2:19" s="1" customFormat="1">
      <c r="B13" s="8"/>
      <c r="C13" s="139" t="s">
        <v>66</v>
      </c>
      <c r="D13" s="140">
        <v>1746.2928358930897</v>
      </c>
      <c r="E13" s="141">
        <v>179.55809774645874</v>
      </c>
      <c r="F13" s="142">
        <f>SUM(D13:E13)</f>
        <v>1925.8509336395484</v>
      </c>
      <c r="G13" s="143">
        <f>(F13/F$16)</f>
        <v>0.40478048691619084</v>
      </c>
      <c r="H13" s="9"/>
      <c r="I13" s="9"/>
      <c r="J13" s="9"/>
      <c r="K13" s="9"/>
      <c r="Q13" s="369" t="s">
        <v>90</v>
      </c>
      <c r="R13" s="150" t="s">
        <v>41</v>
      </c>
      <c r="S13" s="151">
        <f>D12</f>
        <v>2565.1338650713528</v>
      </c>
    </row>
    <row r="14" spans="2:19" s="1" customFormat="1">
      <c r="B14" s="8"/>
      <c r="C14" s="139" t="s">
        <v>68</v>
      </c>
      <c r="D14" s="140">
        <v>128.53757966249995</v>
      </c>
      <c r="E14" s="144"/>
      <c r="F14" s="142">
        <f>SUM(D14:E14)</f>
        <v>128.53757966249995</v>
      </c>
      <c r="G14" s="143">
        <f>(F14/F$16)</f>
        <v>2.7016371399258821E-2</v>
      </c>
      <c r="H14" s="9"/>
      <c r="I14" s="9"/>
      <c r="J14" s="9"/>
      <c r="K14" s="9"/>
      <c r="Q14" s="369"/>
      <c r="R14" s="150" t="s">
        <v>74</v>
      </c>
      <c r="S14" s="151">
        <f>D13</f>
        <v>1746.2928358930897</v>
      </c>
    </row>
    <row r="15" spans="2:19" s="1" customFormat="1" ht="13.5" thickBot="1">
      <c r="B15" s="8"/>
      <c r="C15" s="145" t="s">
        <v>5</v>
      </c>
      <c r="D15" s="146">
        <v>75.155877332499983</v>
      </c>
      <c r="E15" s="147"/>
      <c r="F15" s="148">
        <f>SUM(D15:E15)</f>
        <v>75.155877332499983</v>
      </c>
      <c r="G15" s="149">
        <f>(F15/F$16)</f>
        <v>1.5796462794641569E-2</v>
      </c>
      <c r="H15" s="9"/>
      <c r="I15" s="9"/>
      <c r="J15" s="9"/>
      <c r="K15" s="9"/>
      <c r="Q15" s="369"/>
      <c r="R15" s="150" t="s">
        <v>89</v>
      </c>
      <c r="S15" s="151">
        <f>SUM(D14:D15)</f>
        <v>203.69345699499993</v>
      </c>
    </row>
    <row r="16" spans="2:19" s="1" customFormat="1" ht="13.5" thickTop="1">
      <c r="B16" s="8"/>
      <c r="C16" s="258" t="s">
        <v>72</v>
      </c>
      <c r="D16" s="259">
        <f>SUM(D12:D15)</f>
        <v>4515.1201579594426</v>
      </c>
      <c r="E16" s="260">
        <f>SUM(E12:E15)</f>
        <v>242.64607803575507</v>
      </c>
      <c r="F16" s="261">
        <f>SUM(F12:F15)</f>
        <v>4757.7662359951973</v>
      </c>
      <c r="G16" s="262"/>
      <c r="H16" s="9"/>
      <c r="I16" s="9"/>
      <c r="J16" s="9"/>
      <c r="K16" s="9"/>
    </row>
    <row r="17" spans="2:19" s="1" customFormat="1">
      <c r="B17" s="8"/>
      <c r="C17" s="263" t="s">
        <v>115</v>
      </c>
      <c r="D17" s="334">
        <f>D16/F16</f>
        <v>0.94900000000000007</v>
      </c>
      <c r="E17" s="335">
        <f>E16/F16</f>
        <v>5.1000000000000004E-2</v>
      </c>
      <c r="F17" s="264"/>
      <c r="G17" s="265"/>
      <c r="H17" s="9"/>
      <c r="I17" s="9"/>
      <c r="J17" s="9"/>
      <c r="K17" s="9"/>
    </row>
    <row r="18" spans="2:19" s="1" customFormat="1">
      <c r="B18" s="8"/>
      <c r="C18" s="134"/>
      <c r="D18" s="134"/>
      <c r="E18" s="134"/>
      <c r="F18" s="134"/>
      <c r="G18" s="134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120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4"/>
      <c r="D22" s="134"/>
      <c r="E22" s="134"/>
      <c r="F22" s="134"/>
      <c r="G22" s="134"/>
      <c r="H22" s="9"/>
      <c r="I22" s="9"/>
      <c r="J22" s="9"/>
      <c r="K22" s="9"/>
    </row>
    <row r="23" spans="2:19" s="1" customFormat="1" ht="12.75" customHeight="1">
      <c r="B23" s="8"/>
      <c r="C23" s="376" t="s">
        <v>118</v>
      </c>
      <c r="D23" s="377"/>
      <c r="E23" s="370" t="s">
        <v>127</v>
      </c>
      <c r="F23" s="371"/>
      <c r="G23" s="155" t="s">
        <v>75</v>
      </c>
      <c r="H23" s="374" t="s">
        <v>128</v>
      </c>
      <c r="I23" s="375"/>
      <c r="J23" s="155" t="s">
        <v>75</v>
      </c>
      <c r="K23" s="9"/>
      <c r="Q23" s="150"/>
      <c r="R23" s="150">
        <v>2018</v>
      </c>
      <c r="S23" s="150">
        <v>2019</v>
      </c>
    </row>
    <row r="24" spans="2:19" s="1" customFormat="1" ht="12.75" customHeight="1">
      <c r="B24" s="8"/>
      <c r="C24" s="156"/>
      <c r="D24" s="157"/>
      <c r="E24" s="158">
        <v>2018</v>
      </c>
      <c r="F24" s="159">
        <v>2019</v>
      </c>
      <c r="G24" s="160"/>
      <c r="H24" s="246">
        <v>2018</v>
      </c>
      <c r="I24" s="159">
        <v>2019</v>
      </c>
      <c r="J24" s="160"/>
      <c r="K24" s="9"/>
      <c r="Q24" s="150" t="s">
        <v>77</v>
      </c>
      <c r="R24" s="151">
        <f>E29</f>
        <v>231.80590051761934</v>
      </c>
      <c r="S24" s="151">
        <f>F29</f>
        <v>238.26770513604677</v>
      </c>
    </row>
    <row r="25" spans="2:19" s="1" customFormat="1">
      <c r="B25" s="8"/>
      <c r="C25" s="365" t="s">
        <v>0</v>
      </c>
      <c r="D25" s="366"/>
      <c r="E25" s="197">
        <f>SUM(E26:E28)</f>
        <v>4411.1740802452578</v>
      </c>
      <c r="F25" s="198">
        <f>SUM(F26:F28)</f>
        <v>4519.4985308591504</v>
      </c>
      <c r="G25" s="396">
        <f>((F25/E25)-1)</f>
        <v>2.4556829688269666E-2</v>
      </c>
      <c r="H25" s="247">
        <f>SUM(H26:H28)</f>
        <v>47764.172768126999</v>
      </c>
      <c r="I25" s="198">
        <f>SUM(I26:I28)</f>
        <v>49720.774215768659</v>
      </c>
      <c r="J25" s="199">
        <f>((I25/H25)-1)</f>
        <v>4.0963788007803537E-2</v>
      </c>
      <c r="K25" s="9"/>
      <c r="Q25" s="150" t="s">
        <v>0</v>
      </c>
      <c r="R25" s="151">
        <f>E25</f>
        <v>4411.1740802452578</v>
      </c>
      <c r="S25" s="151">
        <f>F25</f>
        <v>4519.4985308591504</v>
      </c>
    </row>
    <row r="26" spans="2:19" s="1" customFormat="1">
      <c r="B26" s="8"/>
      <c r="C26" s="280" t="s">
        <v>63</v>
      </c>
      <c r="D26" s="289" t="s">
        <v>107</v>
      </c>
      <c r="E26" s="162">
        <v>4281.0239070408343</v>
      </c>
      <c r="F26" s="163">
        <v>4397.7270338524968</v>
      </c>
      <c r="G26" s="164">
        <f t="shared" ref="G26:G32" si="0">((F26/E26)-1)</f>
        <v>2.7260564142079557E-2</v>
      </c>
      <c r="H26" s="248">
        <v>46330.400399405007</v>
      </c>
      <c r="I26" s="163">
        <v>48297.939629265005</v>
      </c>
      <c r="J26" s="164">
        <f t="shared" ref="J26:J32" si="1">((I26/H26)-1)</f>
        <v>4.2467563692483612E-2</v>
      </c>
      <c r="K26" s="9"/>
    </row>
    <row r="27" spans="2:19" s="1" customFormat="1">
      <c r="B27" s="8"/>
      <c r="C27" s="281" t="s">
        <v>112</v>
      </c>
      <c r="D27" s="290" t="s">
        <v>78</v>
      </c>
      <c r="E27" s="283">
        <v>79.45170659999998</v>
      </c>
      <c r="F27" s="284">
        <v>77.772403416574917</v>
      </c>
      <c r="G27" s="293">
        <f t="shared" si="0"/>
        <v>-2.1136149936709647E-2</v>
      </c>
      <c r="H27" s="285">
        <v>936.72341259999996</v>
      </c>
      <c r="I27" s="284">
        <v>938.15957470726869</v>
      </c>
      <c r="J27" s="357">
        <f t="shared" si="1"/>
        <v>1.5331762694843487E-3</v>
      </c>
      <c r="K27" s="9"/>
    </row>
    <row r="28" spans="2:19" s="1" customFormat="1">
      <c r="B28" s="8"/>
      <c r="C28" s="282" t="s">
        <v>65</v>
      </c>
      <c r="D28" s="291" t="s">
        <v>78</v>
      </c>
      <c r="E28" s="162">
        <v>50.698466604423231</v>
      </c>
      <c r="F28" s="163">
        <v>43.999093590078843</v>
      </c>
      <c r="G28" s="292">
        <f t="shared" si="0"/>
        <v>-0.13214153135274309</v>
      </c>
      <c r="H28" s="248">
        <v>497.04895612199363</v>
      </c>
      <c r="I28" s="163">
        <v>484.67501179638515</v>
      </c>
      <c r="J28" s="292">
        <f t="shared" si="1"/>
        <v>-2.489482006390431E-2</v>
      </c>
      <c r="K28" s="9"/>
    </row>
    <row r="29" spans="2:19" s="1" customFormat="1">
      <c r="B29" s="8"/>
      <c r="C29" s="365" t="s">
        <v>77</v>
      </c>
      <c r="D29" s="366"/>
      <c r="E29" s="197">
        <f>SUM(E30:E31)</f>
        <v>231.80590051761934</v>
      </c>
      <c r="F29" s="198">
        <f>SUM(F30:F31)</f>
        <v>238.26770513604677</v>
      </c>
      <c r="G29" s="199">
        <f t="shared" si="0"/>
        <v>2.7875928110536963E-2</v>
      </c>
      <c r="H29" s="247">
        <f>SUM(H30:H31)</f>
        <v>2290.5363059735264</v>
      </c>
      <c r="I29" s="198">
        <f>SUM(I30:I31)</f>
        <v>2305.6507891306874</v>
      </c>
      <c r="J29" s="199">
        <f t="shared" si="1"/>
        <v>6.5986656128276255E-3</v>
      </c>
      <c r="K29" s="9"/>
      <c r="Q29" s="150"/>
      <c r="R29" s="150"/>
      <c r="S29" s="150"/>
    </row>
    <row r="30" spans="2:19" s="1" customFormat="1">
      <c r="B30" s="8"/>
      <c r="C30" s="286" t="s">
        <v>69</v>
      </c>
      <c r="D30" s="157"/>
      <c r="E30" s="162">
        <v>45.213849000000017</v>
      </c>
      <c r="F30" s="163">
        <v>39.62072069037054</v>
      </c>
      <c r="G30" s="164">
        <f t="shared" si="0"/>
        <v>-0.12370387466082522</v>
      </c>
      <c r="H30" s="248">
        <v>476.78472607177133</v>
      </c>
      <c r="I30" s="163">
        <v>476.95741557741371</v>
      </c>
      <c r="J30" s="358">
        <f t="shared" si="1"/>
        <v>3.6219596853515057E-4</v>
      </c>
      <c r="K30" s="9"/>
    </row>
    <row r="31" spans="2:19" s="1" customFormat="1" ht="13.5" thickBot="1">
      <c r="B31" s="8"/>
      <c r="C31" s="287" t="s">
        <v>65</v>
      </c>
      <c r="D31" s="288"/>
      <c r="E31" s="166">
        <v>186.59205151761932</v>
      </c>
      <c r="F31" s="167">
        <v>198.64698444567622</v>
      </c>
      <c r="G31" s="168">
        <f t="shared" si="0"/>
        <v>6.4605822327424178E-2</v>
      </c>
      <c r="H31" s="249">
        <v>1813.7515799017549</v>
      </c>
      <c r="I31" s="167">
        <v>1828.6933735532734</v>
      </c>
      <c r="J31" s="317">
        <f t="shared" si="1"/>
        <v>8.238059620230942E-3</v>
      </c>
      <c r="K31" s="9"/>
    </row>
    <row r="32" spans="2:19" s="1" customFormat="1" ht="14.25" thickTop="1" thickBot="1">
      <c r="B32" s="8"/>
      <c r="C32" s="360" t="s">
        <v>114</v>
      </c>
      <c r="D32" s="361"/>
      <c r="E32" s="200">
        <f>SUM(E25,E29)</f>
        <v>4642.9799807628769</v>
      </c>
      <c r="F32" s="201">
        <f>SUM(F25,F29)</f>
        <v>4757.7662359951973</v>
      </c>
      <c r="G32" s="202">
        <f t="shared" si="0"/>
        <v>2.472253934066293E-2</v>
      </c>
      <c r="H32" s="250">
        <f>SUM(H25,H29)</f>
        <v>50054.709074100523</v>
      </c>
      <c r="I32" s="201">
        <f>SUM(I25,I29)</f>
        <v>52026.425004899349</v>
      </c>
      <c r="J32" s="202">
        <f t="shared" si="1"/>
        <v>3.9391217475261309E-2</v>
      </c>
      <c r="K32" s="9"/>
    </row>
    <row r="33" spans="2:19" s="1" customFormat="1">
      <c r="B33" s="8"/>
      <c r="C33" s="328" t="s">
        <v>108</v>
      </c>
      <c r="D33" s="169"/>
      <c r="E33" s="169"/>
      <c r="F33" s="170"/>
      <c r="G33" s="133"/>
      <c r="H33" s="169"/>
      <c r="I33" s="169"/>
      <c r="J33" s="133"/>
      <c r="K33" s="9"/>
    </row>
    <row r="34" spans="2:19" s="1" customFormat="1">
      <c r="B34" s="8"/>
      <c r="C34" s="91"/>
      <c r="D34" s="92"/>
      <c r="E34" s="92"/>
      <c r="F34" s="93"/>
      <c r="G34" s="9"/>
      <c r="H34" s="9"/>
      <c r="I34" s="9"/>
      <c r="J34" s="9"/>
      <c r="K34" s="9"/>
    </row>
    <row r="35" spans="2:19" s="1" customFormat="1">
      <c r="B35" s="8"/>
      <c r="C35" s="10" t="s">
        <v>121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3"/>
      <c r="D38" s="154"/>
      <c r="E38" s="370" t="s">
        <v>127</v>
      </c>
      <c r="F38" s="371"/>
      <c r="G38" s="372" t="s">
        <v>75</v>
      </c>
      <c r="H38" s="374" t="s">
        <v>128</v>
      </c>
      <c r="I38" s="375"/>
      <c r="J38" s="372" t="s">
        <v>75</v>
      </c>
      <c r="K38" s="9"/>
      <c r="Q38" s="150"/>
      <c r="R38" s="150">
        <v>2018</v>
      </c>
      <c r="S38" s="150">
        <v>2019</v>
      </c>
    </row>
    <row r="39" spans="2:19" s="1" customFormat="1" ht="12.75" customHeight="1">
      <c r="B39" s="8"/>
      <c r="C39" s="156" t="s">
        <v>76</v>
      </c>
      <c r="D39" s="157"/>
      <c r="E39" s="95">
        <v>2018</v>
      </c>
      <c r="F39" s="96">
        <v>2019</v>
      </c>
      <c r="G39" s="373"/>
      <c r="H39" s="251">
        <v>2018</v>
      </c>
      <c r="I39" s="96">
        <v>2019</v>
      </c>
      <c r="J39" s="373"/>
      <c r="K39" s="9"/>
      <c r="Q39" s="150" t="s">
        <v>67</v>
      </c>
      <c r="R39" s="151">
        <f>SUM(E41,E46)</f>
        <v>2705.5542118575008</v>
      </c>
      <c r="S39" s="151">
        <f>SUM(F41,F46)</f>
        <v>2628.2218453606492</v>
      </c>
    </row>
    <row r="40" spans="2:19" s="1" customFormat="1">
      <c r="B40" s="8"/>
      <c r="C40" s="365" t="s">
        <v>69</v>
      </c>
      <c r="D40" s="366"/>
      <c r="E40" s="197">
        <f>SUM(E41:E44)</f>
        <v>4405.6894626408348</v>
      </c>
      <c r="F40" s="198">
        <f>SUM(F41:F44)</f>
        <v>4515.1201579594426</v>
      </c>
      <c r="G40" s="199">
        <f>((F40/E40)-1)</f>
        <v>2.4838494915847553E-2</v>
      </c>
      <c r="H40" s="247">
        <f>SUM(H41:H44)</f>
        <v>47743.908538076765</v>
      </c>
      <c r="I40" s="198">
        <f>SUM(I41:I44)</f>
        <v>49713.056619549687</v>
      </c>
      <c r="J40" s="199">
        <f>((I40/H40)-1)</f>
        <v>4.1243964764687835E-2</v>
      </c>
      <c r="K40" s="9"/>
      <c r="Q40" s="150" t="s">
        <v>66</v>
      </c>
      <c r="R40" s="151">
        <f>SUM(E42,E47)</f>
        <v>1720.6327013720422</v>
      </c>
      <c r="S40" s="151">
        <f>SUM(F42,F47)</f>
        <v>1925.8509336395484</v>
      </c>
    </row>
    <row r="41" spans="2:19" s="1" customFormat="1">
      <c r="B41" s="8"/>
      <c r="C41" s="161" t="s">
        <v>67</v>
      </c>
      <c r="D41" s="134"/>
      <c r="E41" s="162">
        <v>2640.776483107501</v>
      </c>
      <c r="F41" s="163">
        <f>D12</f>
        <v>2565.1338650713528</v>
      </c>
      <c r="G41" s="292">
        <f t="shared" ref="G41:G48" si="2">((F41/E41)-1)</f>
        <v>-2.8644081966049839E-2</v>
      </c>
      <c r="H41" s="248">
        <v>27506.563103776771</v>
      </c>
      <c r="I41" s="163">
        <v>27571.556979394089</v>
      </c>
      <c r="J41" s="359">
        <f t="shared" ref="J41:J48" si="3">((I41/H41)-1)</f>
        <v>2.362849745062956E-3</v>
      </c>
      <c r="K41" s="9"/>
      <c r="Q41" s="150" t="s">
        <v>68</v>
      </c>
      <c r="R41" s="151">
        <f>E43</f>
        <v>140.08023553333334</v>
      </c>
      <c r="S41" s="151">
        <f>F43</f>
        <v>128.53757966249995</v>
      </c>
    </row>
    <row r="42" spans="2:19" s="1" customFormat="1">
      <c r="B42" s="8"/>
      <c r="C42" s="161" t="s">
        <v>66</v>
      </c>
      <c r="D42" s="134"/>
      <c r="E42" s="162">
        <v>1548.1199119999999</v>
      </c>
      <c r="F42" s="163">
        <f>D13</f>
        <v>1746.2928358930897</v>
      </c>
      <c r="G42" s="292">
        <f t="shared" si="2"/>
        <v>0.12800876880207057</v>
      </c>
      <c r="H42" s="248">
        <v>18206.828109949998</v>
      </c>
      <c r="I42" s="163">
        <v>19941.065128513095</v>
      </c>
      <c r="J42" s="292">
        <f t="shared" si="3"/>
        <v>9.5252012491694682E-2</v>
      </c>
      <c r="K42" s="9"/>
      <c r="Q42" s="150" t="s">
        <v>5</v>
      </c>
      <c r="R42" s="151">
        <f>E44</f>
        <v>76.712831999999992</v>
      </c>
      <c r="S42" s="151">
        <f>F44</f>
        <v>75.155877332499983</v>
      </c>
    </row>
    <row r="43" spans="2:19" s="1" customFormat="1">
      <c r="B43" s="8"/>
      <c r="C43" s="161" t="s">
        <v>68</v>
      </c>
      <c r="D43" s="134"/>
      <c r="E43" s="162">
        <v>140.08023553333334</v>
      </c>
      <c r="F43" s="163">
        <f>D14</f>
        <v>128.53757966249995</v>
      </c>
      <c r="G43" s="292">
        <f t="shared" si="2"/>
        <v>-8.2400317410136759E-2</v>
      </c>
      <c r="H43" s="248">
        <v>1361.7761413500002</v>
      </c>
      <c r="I43" s="163">
        <v>1516.2087001474997</v>
      </c>
      <c r="J43" s="292">
        <f t="shared" si="3"/>
        <v>0.11340524636039095</v>
      </c>
      <c r="K43" s="9"/>
    </row>
    <row r="44" spans="2:19" s="1" customFormat="1">
      <c r="B44" s="8"/>
      <c r="C44" s="161" t="s">
        <v>5</v>
      </c>
      <c r="D44" s="134"/>
      <c r="E44" s="162">
        <v>76.712831999999992</v>
      </c>
      <c r="F44" s="163">
        <f>D15</f>
        <v>75.155877332499983</v>
      </c>
      <c r="G44" s="94">
        <f t="shared" si="2"/>
        <v>-2.0295883060346576E-2</v>
      </c>
      <c r="H44" s="248">
        <v>668.74118300000021</v>
      </c>
      <c r="I44" s="163">
        <v>684.22581149500002</v>
      </c>
      <c r="J44" s="164">
        <f t="shared" si="3"/>
        <v>2.3154889946414237E-2</v>
      </c>
      <c r="K44" s="9"/>
      <c r="Q44" s="150"/>
      <c r="R44" s="150"/>
      <c r="S44" s="150"/>
    </row>
    <row r="45" spans="2:19" s="1" customFormat="1">
      <c r="B45" s="8"/>
      <c r="C45" s="365" t="s">
        <v>65</v>
      </c>
      <c r="D45" s="366"/>
      <c r="E45" s="197">
        <f>SUM(E46:E47)</f>
        <v>237.29051812204236</v>
      </c>
      <c r="F45" s="198">
        <f>SUM(F46:F47)</f>
        <v>242.64607803575507</v>
      </c>
      <c r="G45" s="199">
        <f t="shared" si="2"/>
        <v>2.2569633022412994E-2</v>
      </c>
      <c r="H45" s="247">
        <f>SUM(H46:H47)</f>
        <v>2310.800536023748</v>
      </c>
      <c r="I45" s="198">
        <f>SUM(I46:I47)</f>
        <v>2313.3683853496591</v>
      </c>
      <c r="J45" s="199">
        <f t="shared" si="3"/>
        <v>1.111237982629909E-3</v>
      </c>
      <c r="K45" s="9"/>
    </row>
    <row r="46" spans="2:19" s="1" customFormat="1">
      <c r="B46" s="8"/>
      <c r="C46" s="161" t="s">
        <v>67</v>
      </c>
      <c r="D46" s="134"/>
      <c r="E46" s="162">
        <v>64.777728749999994</v>
      </c>
      <c r="F46" s="163">
        <f>E12</f>
        <v>63.087980289296326</v>
      </c>
      <c r="G46" s="164">
        <f t="shared" si="2"/>
        <v>-2.6085330457092715E-2</v>
      </c>
      <c r="H46" s="248">
        <v>684.62862197790787</v>
      </c>
      <c r="I46" s="163">
        <v>645.79676976085102</v>
      </c>
      <c r="J46" s="164">
        <f t="shared" si="3"/>
        <v>-5.6719586313629056E-2</v>
      </c>
      <c r="K46" s="9"/>
    </row>
    <row r="47" spans="2:19" s="1" customFormat="1" ht="13.5" thickBot="1">
      <c r="B47" s="8"/>
      <c r="C47" s="165" t="s">
        <v>66</v>
      </c>
      <c r="D47" s="134"/>
      <c r="E47" s="166">
        <v>172.51278937204236</v>
      </c>
      <c r="F47" s="167">
        <f>E13</f>
        <v>179.55809774645874</v>
      </c>
      <c r="G47" s="317">
        <f t="shared" si="2"/>
        <v>4.0839339506721473E-2</v>
      </c>
      <c r="H47" s="249">
        <v>1626.1719140458401</v>
      </c>
      <c r="I47" s="167">
        <v>1667.5716155888081</v>
      </c>
      <c r="J47" s="168">
        <f t="shared" si="3"/>
        <v>2.5458379391123165E-2</v>
      </c>
      <c r="K47" s="9"/>
    </row>
    <row r="48" spans="2:19" s="1" customFormat="1" ht="14.25" thickTop="1" thickBot="1">
      <c r="B48" s="8"/>
      <c r="C48" s="360" t="s">
        <v>114</v>
      </c>
      <c r="D48" s="361"/>
      <c r="E48" s="200">
        <f>SUM(E40,E45)</f>
        <v>4642.9799807628769</v>
      </c>
      <c r="F48" s="201">
        <f>SUM(F40,F45)</f>
        <v>4757.7662359951973</v>
      </c>
      <c r="G48" s="202">
        <f t="shared" si="2"/>
        <v>2.472253934066293E-2</v>
      </c>
      <c r="H48" s="250">
        <f>SUM(H40,H45)</f>
        <v>50054.709074100516</v>
      </c>
      <c r="I48" s="201">
        <f>SUM(I40,I45)</f>
        <v>52026.425004899349</v>
      </c>
      <c r="J48" s="202">
        <f t="shared" si="3"/>
        <v>3.9391217475261309E-2</v>
      </c>
      <c r="K48" s="9"/>
    </row>
    <row r="49" spans="2:23" s="1" customFormat="1">
      <c r="B49" s="8"/>
      <c r="C49" s="278"/>
      <c r="D49" s="91"/>
      <c r="E49" s="92"/>
      <c r="F49" s="92"/>
      <c r="G49" s="97"/>
      <c r="H49" s="9"/>
      <c r="I49" s="9"/>
      <c r="J49" s="9"/>
      <c r="K49" s="9"/>
    </row>
    <row r="50" spans="2:23" s="1" customFormat="1">
      <c r="B50" s="8"/>
      <c r="C50" s="91"/>
      <c r="D50" s="91"/>
      <c r="E50" s="92"/>
      <c r="F50" s="92"/>
      <c r="G50" s="97"/>
      <c r="H50" s="9"/>
      <c r="I50" s="9"/>
      <c r="J50" s="9"/>
      <c r="K50" s="9"/>
    </row>
    <row r="51" spans="2:23" s="1" customFormat="1">
      <c r="B51" s="8"/>
      <c r="C51" s="10" t="s">
        <v>122</v>
      </c>
      <c r="H51" s="9"/>
      <c r="I51" s="9"/>
      <c r="J51" s="9"/>
      <c r="K51" s="9"/>
    </row>
    <row r="52" spans="2:23" s="1" customFormat="1">
      <c r="B52" s="8"/>
      <c r="C52" s="10" t="s">
        <v>109</v>
      </c>
      <c r="H52" s="9"/>
      <c r="I52" s="9"/>
      <c r="J52" s="9"/>
      <c r="K52" s="9"/>
      <c r="M52" s="273"/>
    </row>
    <row r="53" spans="2:23" s="1" customFormat="1" ht="13.5" thickBot="1">
      <c r="B53" s="8"/>
      <c r="C53" s="10"/>
      <c r="H53" s="9"/>
      <c r="I53" s="9"/>
      <c r="J53" s="9"/>
      <c r="K53" s="9"/>
      <c r="L53" s="273"/>
      <c r="M53" s="273"/>
    </row>
    <row r="54" spans="2:23" s="1" customFormat="1" ht="12.75" customHeight="1">
      <c r="B54" s="8"/>
      <c r="C54" s="153"/>
      <c r="D54" s="154"/>
      <c r="E54" s="370" t="s">
        <v>127</v>
      </c>
      <c r="F54" s="371"/>
      <c r="G54" s="372" t="s">
        <v>75</v>
      </c>
      <c r="H54" s="374" t="s">
        <v>128</v>
      </c>
      <c r="I54" s="375"/>
      <c r="J54" s="372" t="s">
        <v>75</v>
      </c>
      <c r="K54" s="9"/>
      <c r="L54" s="273"/>
      <c r="M54" s="273"/>
    </row>
    <row r="55" spans="2:23" s="1" customFormat="1" ht="12.75" customHeight="1">
      <c r="B55" s="8"/>
      <c r="C55" s="156" t="s">
        <v>76</v>
      </c>
      <c r="D55" s="157"/>
      <c r="E55" s="95">
        <v>2018</v>
      </c>
      <c r="F55" s="96">
        <v>2019</v>
      </c>
      <c r="G55" s="373"/>
      <c r="H55" s="251">
        <v>2018</v>
      </c>
      <c r="I55" s="96">
        <v>2019</v>
      </c>
      <c r="J55" s="373"/>
      <c r="K55" s="9"/>
      <c r="L55" s="273"/>
      <c r="M55" s="273"/>
    </row>
    <row r="56" spans="2:23" s="1" customFormat="1">
      <c r="B56" s="8"/>
      <c r="C56" s="365" t="s">
        <v>69</v>
      </c>
      <c r="D56" s="366"/>
      <c r="E56" s="197">
        <f>SUM(E57:E60)</f>
        <v>4405.6894626408339</v>
      </c>
      <c r="F56" s="198">
        <f>SUM(F57:F60)</f>
        <v>4515.1201579594426</v>
      </c>
      <c r="G56" s="199">
        <f>((F56/E56)-1)</f>
        <v>2.4838494915847775E-2</v>
      </c>
      <c r="H56" s="247">
        <f>SUM(H57:H60)</f>
        <v>47743.908538076772</v>
      </c>
      <c r="I56" s="198">
        <f>SUM(I57:I60)</f>
        <v>49713.056619549687</v>
      </c>
      <c r="J56" s="199">
        <f>((I56/H56)-1)</f>
        <v>4.1243964764687835E-2</v>
      </c>
      <c r="K56" s="9"/>
    </row>
    <row r="57" spans="2:23" s="1" customFormat="1" ht="25.5">
      <c r="B57" s="8"/>
      <c r="C57" s="363" t="s">
        <v>79</v>
      </c>
      <c r="D57" s="294" t="s">
        <v>80</v>
      </c>
      <c r="E57" s="343">
        <f>SUM(E43:E44)+20.338289</f>
        <v>237.13135653333333</v>
      </c>
      <c r="F57" s="344">
        <f>SUM(F43:F44)+20.7694577977685</f>
        <v>224.46291479276843</v>
      </c>
      <c r="G57" s="175">
        <f t="shared" ref="G57:G65" si="4">((F57/E57)-1)</f>
        <v>-5.3423730736277042E-2</v>
      </c>
      <c r="H57" s="345">
        <f>SUM(H43:H44)+188.60457495</f>
        <v>2219.1218993000002</v>
      </c>
      <c r="I57" s="344">
        <f>SUM(I43:I44)+279.344805735268</f>
        <v>2479.7793173777677</v>
      </c>
      <c r="J57" s="175">
        <f t="shared" ref="J57:J65" si="5">((I57/H57)-1)</f>
        <v>0.11745971150119749</v>
      </c>
      <c r="K57" s="9"/>
      <c r="L57" s="273"/>
      <c r="Q57" s="150"/>
      <c r="R57" s="150"/>
      <c r="T57" s="150">
        <v>2018</v>
      </c>
      <c r="U57" s="150">
        <v>2019</v>
      </c>
      <c r="V57" s="150"/>
      <c r="W57" s="150"/>
    </row>
    <row r="58" spans="2:23" s="1" customFormat="1" ht="13.5">
      <c r="B58" s="8"/>
      <c r="C58" s="364"/>
      <c r="D58" s="295" t="s">
        <v>116</v>
      </c>
      <c r="E58" s="283">
        <v>143.15945924499999</v>
      </c>
      <c r="F58" s="350">
        <v>186.89413880750016</v>
      </c>
      <c r="G58" s="293">
        <f t="shared" si="4"/>
        <v>0.30549626125405793</v>
      </c>
      <c r="H58" s="285">
        <v>1152.2730854600002</v>
      </c>
      <c r="I58" s="284">
        <v>1610.3864647424996</v>
      </c>
      <c r="J58" s="293">
        <f t="shared" si="5"/>
        <v>0.39757361780225509</v>
      </c>
      <c r="K58" s="9"/>
      <c r="L58" s="273"/>
      <c r="M58" s="273"/>
      <c r="Q58" s="369" t="s">
        <v>81</v>
      </c>
      <c r="R58" s="150" t="s">
        <v>67</v>
      </c>
      <c r="T58" s="151">
        <f>SUM(E60,E64)</f>
        <v>2562.3947526125007</v>
      </c>
      <c r="U58" s="151">
        <f>SUM(F60,F64)</f>
        <v>2441.3277065531493</v>
      </c>
      <c r="V58" s="152">
        <f t="shared" ref="V58:W61" si="6">T58/T$64</f>
        <v>0.5518858067941701</v>
      </c>
      <c r="W58" s="152">
        <f t="shared" si="6"/>
        <v>0.51312477020899472</v>
      </c>
    </row>
    <row r="59" spans="2:23" s="1" customFormat="1">
      <c r="B59" s="8"/>
      <c r="C59" s="362" t="s">
        <v>81</v>
      </c>
      <c r="D59" s="296" t="s">
        <v>82</v>
      </c>
      <c r="E59" s="162">
        <f>SUM(E42:E44)-E57</f>
        <v>1527.7816229999999</v>
      </c>
      <c r="F59" s="163">
        <f>SUM(F42:F44)-F57</f>
        <v>1725.523378095321</v>
      </c>
      <c r="G59" s="292">
        <f t="shared" si="4"/>
        <v>0.12943064121103198</v>
      </c>
      <c r="H59" s="248">
        <f>SUM(H42:H44)-H57</f>
        <v>18018.223535000001</v>
      </c>
      <c r="I59" s="163">
        <f>SUM(I42:I44)-I57</f>
        <v>19661.72032277783</v>
      </c>
      <c r="J59" s="292">
        <f t="shared" si="5"/>
        <v>9.121303132827574E-2</v>
      </c>
      <c r="K59" s="9"/>
      <c r="Q59" s="369"/>
      <c r="R59" s="150" t="s">
        <v>66</v>
      </c>
      <c r="T59" s="151">
        <f>SUM(E59,E63)</f>
        <v>1678.7874283720423</v>
      </c>
      <c r="U59" s="151">
        <f>SUM(F59,F63)</f>
        <v>1879.3787151847048</v>
      </c>
      <c r="V59" s="152">
        <f t="shared" si="6"/>
        <v>0.36157541822874817</v>
      </c>
      <c r="W59" s="152">
        <f t="shared" si="6"/>
        <v>0.39501283206521159</v>
      </c>
    </row>
    <row r="60" spans="2:23" s="1" customFormat="1">
      <c r="B60" s="8"/>
      <c r="C60" s="362"/>
      <c r="D60" s="297" t="s">
        <v>41</v>
      </c>
      <c r="E60" s="162">
        <f>E41-E58</f>
        <v>2497.6170238625009</v>
      </c>
      <c r="F60" s="163">
        <f>F41-F58</f>
        <v>2378.2397262638528</v>
      </c>
      <c r="G60" s="164">
        <f t="shared" si="4"/>
        <v>-4.7796478186248992E-2</v>
      </c>
      <c r="H60" s="248">
        <f>H41-H58</f>
        <v>26354.290018316769</v>
      </c>
      <c r="I60" s="163">
        <f>I41-I58</f>
        <v>25961.170514651589</v>
      </c>
      <c r="J60" s="292">
        <f t="shared" si="5"/>
        <v>-1.491671767260494E-2</v>
      </c>
      <c r="K60" s="9"/>
      <c r="Q60" s="369" t="s">
        <v>79</v>
      </c>
      <c r="R60" s="150" t="s">
        <v>67</v>
      </c>
      <c r="T60" s="151">
        <f>E58</f>
        <v>143.15945924499999</v>
      </c>
      <c r="U60" s="151">
        <f>F58</f>
        <v>186.89413880750016</v>
      </c>
      <c r="V60" s="152">
        <f t="shared" si="6"/>
        <v>3.0833529293287584E-2</v>
      </c>
      <c r="W60" s="152">
        <f t="shared" si="6"/>
        <v>3.9281908680914183E-2</v>
      </c>
    </row>
    <row r="61" spans="2:23" s="1" customFormat="1">
      <c r="B61" s="8"/>
      <c r="C61" s="365" t="s">
        <v>65</v>
      </c>
      <c r="D61" s="366"/>
      <c r="E61" s="197">
        <f>SUM(E62:E64)</f>
        <v>237.29051812204236</v>
      </c>
      <c r="F61" s="198">
        <f>SUM(F62:F64)</f>
        <v>242.6460780357551</v>
      </c>
      <c r="G61" s="199">
        <f t="shared" si="4"/>
        <v>2.2569633022412994E-2</v>
      </c>
      <c r="H61" s="247">
        <f>SUM(H62:H64)</f>
        <v>2310.800536023748</v>
      </c>
      <c r="I61" s="198">
        <f>SUM(I62:I64)</f>
        <v>2313.3683853496591</v>
      </c>
      <c r="J61" s="199">
        <f t="shared" si="5"/>
        <v>1.111237982629909E-3</v>
      </c>
      <c r="K61" s="9"/>
      <c r="Q61" s="369"/>
      <c r="R61" s="150" t="s">
        <v>91</v>
      </c>
      <c r="T61" s="151">
        <f>E57+E62</f>
        <v>258.63834053333335</v>
      </c>
      <c r="U61" s="151">
        <f>F57+F62</f>
        <v>250.16567544984343</v>
      </c>
      <c r="V61" s="152">
        <f t="shared" si="6"/>
        <v>5.5705245683794029E-2</v>
      </c>
      <c r="W61" s="152">
        <f t="shared" si="6"/>
        <v>5.258048904487958E-2</v>
      </c>
    </row>
    <row r="62" spans="2:23" s="1" customFormat="1">
      <c r="B62" s="8"/>
      <c r="C62" s="329" t="s">
        <v>79</v>
      </c>
      <c r="D62" s="330" t="s">
        <v>123</v>
      </c>
      <c r="E62" s="346">
        <v>21.506983999999999</v>
      </c>
      <c r="F62" s="347">
        <v>25.702760657075018</v>
      </c>
      <c r="G62" s="331">
        <f t="shared" si="4"/>
        <v>0.19508903047842585</v>
      </c>
      <c r="H62" s="348">
        <v>172.83101099999996</v>
      </c>
      <c r="I62" s="347">
        <v>211.865792097075</v>
      </c>
      <c r="J62" s="331">
        <f t="shared" si="5"/>
        <v>0.22585519156093481</v>
      </c>
      <c r="K62" s="9"/>
      <c r="Q62" s="150"/>
      <c r="R62" s="150"/>
      <c r="T62" s="150"/>
      <c r="U62" s="150"/>
      <c r="V62" s="150"/>
      <c r="W62" s="150"/>
    </row>
    <row r="63" spans="2:23" s="1" customFormat="1">
      <c r="B63" s="8"/>
      <c r="C63" s="367" t="s">
        <v>81</v>
      </c>
      <c r="D63" s="296" t="s">
        <v>82</v>
      </c>
      <c r="E63" s="162">
        <f>E47-E62</f>
        <v>151.00580537204237</v>
      </c>
      <c r="F63" s="163">
        <f>F47-F62</f>
        <v>153.85533708938374</v>
      </c>
      <c r="G63" s="292">
        <f t="shared" ref="G63" si="7">((F63/E63)-1)</f>
        <v>1.8870345483213757E-2</v>
      </c>
      <c r="H63" s="248">
        <f>H47-H62</f>
        <v>1453.3409030458402</v>
      </c>
      <c r="I63" s="163">
        <f>I47-I62</f>
        <v>1455.7058234917331</v>
      </c>
      <c r="J63" s="359">
        <f t="shared" ref="J63" si="8">((I63/H63)-1)</f>
        <v>1.6272303634587981E-3</v>
      </c>
      <c r="K63" s="9"/>
      <c r="Q63" s="150"/>
      <c r="R63" s="150"/>
      <c r="T63" s="150"/>
      <c r="U63" s="150"/>
      <c r="V63" s="150"/>
      <c r="W63" s="150"/>
    </row>
    <row r="64" spans="2:23" s="1" customFormat="1" ht="13.5" thickBot="1">
      <c r="B64" s="8"/>
      <c r="C64" s="368"/>
      <c r="D64" s="298" t="s">
        <v>41</v>
      </c>
      <c r="E64" s="166">
        <f>E46</f>
        <v>64.777728749999994</v>
      </c>
      <c r="F64" s="167">
        <f>F46</f>
        <v>63.087980289296326</v>
      </c>
      <c r="G64" s="168">
        <f t="shared" si="4"/>
        <v>-2.6085330457092715E-2</v>
      </c>
      <c r="H64" s="249">
        <f>H46</f>
        <v>684.62862197790787</v>
      </c>
      <c r="I64" s="167">
        <f>I46</f>
        <v>645.79676976085102</v>
      </c>
      <c r="J64" s="168">
        <f t="shared" si="5"/>
        <v>-5.6719586313629056E-2</v>
      </c>
      <c r="K64" s="9"/>
      <c r="Q64" s="150"/>
      <c r="R64" s="150"/>
      <c r="T64" s="151">
        <f>SUM(T58:T61)</f>
        <v>4642.9799807628769</v>
      </c>
      <c r="U64" s="151">
        <f>SUM(U58:U61)</f>
        <v>4757.7662359951973</v>
      </c>
      <c r="V64" s="150"/>
      <c r="W64" s="150"/>
    </row>
    <row r="65" spans="2:22" s="1" customFormat="1" ht="14.25" thickTop="1" thickBot="1">
      <c r="B65" s="8"/>
      <c r="C65" s="360" t="s">
        <v>114</v>
      </c>
      <c r="D65" s="361"/>
      <c r="E65" s="200">
        <f>SUM(E56,E61)</f>
        <v>4642.979980762876</v>
      </c>
      <c r="F65" s="201">
        <f>SUM(F56,F61)</f>
        <v>4757.7662359951973</v>
      </c>
      <c r="G65" s="202">
        <f t="shared" si="4"/>
        <v>2.4722539340663152E-2</v>
      </c>
      <c r="H65" s="250">
        <f>SUM(H56,H61)</f>
        <v>50054.709074100523</v>
      </c>
      <c r="I65" s="201">
        <f>SUM(I56,I61)</f>
        <v>52026.425004899349</v>
      </c>
      <c r="J65" s="202">
        <f t="shared" si="5"/>
        <v>3.9391217475261309E-2</v>
      </c>
      <c r="K65" s="9"/>
      <c r="Q65" s="150"/>
      <c r="R65" s="150"/>
      <c r="S65" s="150"/>
      <c r="T65" s="150"/>
      <c r="U65" s="150"/>
      <c r="V65" s="150"/>
    </row>
    <row r="66" spans="2:22" s="1" customFormat="1">
      <c r="B66" s="8"/>
      <c r="C66" s="278" t="s">
        <v>117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1"/>
      <c r="D83" s="91"/>
      <c r="E83" s="92"/>
      <c r="F83" s="92"/>
      <c r="G83" s="97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22" zoomScaleNormal="100" zoomScaleSheetLayoutView="100" workbookViewId="0">
      <selection activeCell="E58" sqref="E58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5" customWidth="1"/>
    <col min="12" max="12" width="27.5703125" style="55" customWidth="1"/>
    <col min="13" max="13" width="21.85546875" style="56" customWidth="1"/>
    <col min="14" max="21" width="11.42578125" style="56"/>
    <col min="22" max="25" width="11.42578125" style="58"/>
    <col min="26" max="28" width="11.42578125" style="19"/>
  </cols>
  <sheetData>
    <row r="1" spans="2:28">
      <c r="N1" s="57">
        <v>3066.3426032056236</v>
      </c>
      <c r="O1" s="57"/>
      <c r="P1" s="57"/>
      <c r="Q1" s="57"/>
      <c r="R1" s="57"/>
      <c r="S1" s="57"/>
      <c r="T1" s="57"/>
      <c r="U1" s="57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59"/>
      <c r="L2" s="60"/>
      <c r="M2" s="61"/>
      <c r="N2" s="62">
        <v>1230.4754866556138</v>
      </c>
      <c r="O2" s="62"/>
      <c r="P2" s="62"/>
      <c r="Q2" s="62"/>
      <c r="R2" s="57"/>
      <c r="S2" s="57"/>
      <c r="T2" s="57"/>
      <c r="U2" s="57"/>
      <c r="V2" s="55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3"/>
      <c r="L3" s="64"/>
      <c r="M3" s="65"/>
      <c r="N3" s="62">
        <v>117.97097317393826</v>
      </c>
      <c r="O3" s="62"/>
      <c r="P3" s="62"/>
      <c r="Q3" s="62"/>
      <c r="R3" s="57"/>
      <c r="S3" s="57"/>
      <c r="T3" s="57"/>
      <c r="U3" s="57"/>
      <c r="V3" s="55"/>
    </row>
    <row r="4" spans="2:28" ht="15">
      <c r="B4" s="23" t="s">
        <v>88</v>
      </c>
      <c r="D4" s="3"/>
      <c r="E4" s="23"/>
      <c r="F4" s="23"/>
      <c r="G4" s="23"/>
      <c r="H4" s="23"/>
      <c r="I4" s="23"/>
      <c r="J4" s="23"/>
      <c r="K4" s="66"/>
      <c r="L4" s="67"/>
      <c r="M4" s="68"/>
      <c r="N4" s="62">
        <v>0.26741999999999999</v>
      </c>
      <c r="O4" s="62"/>
      <c r="P4" s="62"/>
      <c r="Q4" s="62"/>
      <c r="R4" s="57"/>
      <c r="S4" s="57"/>
      <c r="T4" s="57"/>
      <c r="U4" s="57"/>
      <c r="V4" s="55"/>
    </row>
    <row r="5" spans="2:28">
      <c r="N5" s="57">
        <v>87.475207379999986</v>
      </c>
      <c r="O5" s="57"/>
      <c r="P5" s="57"/>
      <c r="Q5" s="57"/>
      <c r="R5" s="57"/>
      <c r="S5" s="57"/>
      <c r="T5" s="57"/>
      <c r="U5" s="57"/>
    </row>
    <row r="6" spans="2:28">
      <c r="C6" s="10"/>
      <c r="N6" s="57">
        <v>59.658878850000001</v>
      </c>
      <c r="O6" s="57"/>
      <c r="P6" s="57"/>
      <c r="Q6" s="57"/>
      <c r="R6" s="57"/>
      <c r="S6" s="57"/>
      <c r="T6" s="57"/>
      <c r="U6" s="57"/>
    </row>
    <row r="7" spans="2:28">
      <c r="C7" s="10"/>
      <c r="N7" s="57">
        <v>34.086593865910203</v>
      </c>
      <c r="O7" s="57"/>
      <c r="P7" s="57"/>
      <c r="Q7" s="57"/>
      <c r="R7" s="57"/>
      <c r="S7" s="57"/>
      <c r="T7" s="57"/>
      <c r="U7" s="57"/>
    </row>
    <row r="8" spans="2:28" ht="19.5" customHeight="1">
      <c r="B8" s="20"/>
      <c r="C8" s="25"/>
      <c r="D8" s="40"/>
      <c r="E8" s="41"/>
      <c r="M8" s="69" t="s">
        <v>1</v>
      </c>
      <c r="N8" s="70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2"/>
      <c r="D9" s="43"/>
      <c r="E9" s="43"/>
      <c r="M9" s="56" t="s">
        <v>86</v>
      </c>
      <c r="N9" s="71">
        <f>E28</f>
        <v>2628.2218453606492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2"/>
      <c r="D10" s="43"/>
      <c r="E10" s="43"/>
      <c r="M10" s="56" t="s">
        <v>2</v>
      </c>
      <c r="N10" s="71">
        <f t="shared" ref="N10:N15" si="0">E29</f>
        <v>1797.7955641346298</v>
      </c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72"/>
      <c r="Z10" s="20"/>
      <c r="AA10" s="20"/>
      <c r="AB10" s="20"/>
    </row>
    <row r="11" spans="2:28">
      <c r="B11" s="20"/>
      <c r="C11" s="42"/>
      <c r="D11" s="43"/>
      <c r="E11" s="43"/>
      <c r="M11" s="56" t="s">
        <v>85</v>
      </c>
      <c r="N11" s="71">
        <f t="shared" si="0"/>
        <v>81.281686946623267</v>
      </c>
      <c r="O11" s="71"/>
      <c r="P11" s="71"/>
      <c r="Q11" s="71"/>
      <c r="R11" s="71"/>
      <c r="S11" s="71"/>
      <c r="T11" s="72"/>
      <c r="U11" s="72"/>
      <c r="V11" s="72"/>
      <c r="W11" s="72"/>
      <c r="X11" s="72"/>
      <c r="Y11" s="72"/>
      <c r="Z11" s="20"/>
      <c r="AA11" s="20"/>
      <c r="AB11" s="20"/>
    </row>
    <row r="12" spans="2:28">
      <c r="B12" s="20"/>
      <c r="C12" s="42"/>
      <c r="D12" s="43"/>
      <c r="E12" s="43"/>
      <c r="J12" s="24"/>
      <c r="K12" s="58"/>
      <c r="M12" s="56" t="s">
        <v>6</v>
      </c>
      <c r="N12" s="71">
        <f t="shared" si="0"/>
        <v>46.4722184548435</v>
      </c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20"/>
      <c r="AA12" s="20"/>
      <c r="AB12" s="20"/>
    </row>
    <row r="13" spans="2:28">
      <c r="B13" s="20"/>
      <c r="C13" s="42"/>
      <c r="D13" s="43"/>
      <c r="E13" s="43"/>
      <c r="M13" s="56" t="s">
        <v>14</v>
      </c>
      <c r="N13" s="71">
        <f t="shared" si="0"/>
        <v>128.53757966249995</v>
      </c>
      <c r="O13" s="71"/>
      <c r="P13" s="71"/>
      <c r="Q13" s="71"/>
      <c r="R13" s="71"/>
      <c r="S13" s="71"/>
      <c r="T13" s="72"/>
      <c r="U13" s="72"/>
      <c r="V13" s="72"/>
      <c r="W13" s="72"/>
      <c r="X13" s="72"/>
      <c r="Y13" s="72"/>
      <c r="Z13" s="20"/>
      <c r="AA13" s="20"/>
      <c r="AB13" s="20"/>
    </row>
    <row r="14" spans="2:28">
      <c r="B14" s="20"/>
      <c r="C14" s="42"/>
      <c r="D14" s="43"/>
      <c r="E14" s="43"/>
      <c r="M14" s="56" t="s">
        <v>5</v>
      </c>
      <c r="N14" s="71">
        <f t="shared" si="0"/>
        <v>75.155877332499983</v>
      </c>
      <c r="O14" s="71"/>
      <c r="P14" s="71"/>
      <c r="Q14" s="71"/>
      <c r="R14" s="71"/>
      <c r="S14" s="71"/>
      <c r="T14" s="72"/>
      <c r="U14" s="72"/>
      <c r="V14" s="72"/>
      <c r="W14" s="72"/>
      <c r="X14" s="72"/>
      <c r="Y14" s="72"/>
      <c r="Z14" s="20"/>
      <c r="AA14" s="20"/>
      <c r="AB14" s="20"/>
    </row>
    <row r="15" spans="2:28">
      <c r="B15" s="20"/>
      <c r="C15" s="42"/>
      <c r="D15" s="43"/>
      <c r="E15" s="43"/>
      <c r="M15" s="56" t="s">
        <v>4</v>
      </c>
      <c r="N15" s="299">
        <f t="shared" si="0"/>
        <v>0.30146410345161367</v>
      </c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2"/>
      <c r="Z15" s="20"/>
      <c r="AA15" s="20"/>
      <c r="AB15" s="20"/>
    </row>
    <row r="16" spans="2:28">
      <c r="C16" s="25"/>
      <c r="D16" s="39"/>
      <c r="E16" s="39"/>
      <c r="M16" s="69" t="s">
        <v>7</v>
      </c>
      <c r="N16" s="73">
        <f>SUBTOTAL(109,N9:N15)</f>
        <v>4757.7662359951973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2:28">
      <c r="C17" s="25"/>
      <c r="D17" s="26"/>
      <c r="E17" s="26"/>
      <c r="F17" s="26"/>
      <c r="G17" s="26"/>
      <c r="H17" s="26"/>
      <c r="I17" s="26"/>
      <c r="N17" s="71"/>
      <c r="O17" s="71"/>
      <c r="P17" s="71"/>
      <c r="Q17" s="71"/>
      <c r="R17" s="71"/>
      <c r="S17" s="71"/>
      <c r="T17" s="72"/>
      <c r="U17" s="72"/>
      <c r="V17" s="72"/>
      <c r="W17" s="72"/>
      <c r="X17" s="83"/>
      <c r="Y17" s="83"/>
    </row>
    <row r="18" spans="2:28">
      <c r="C18" s="25"/>
      <c r="D18" s="26"/>
      <c r="E18" s="26"/>
      <c r="F18" s="26"/>
      <c r="G18" s="26"/>
      <c r="H18" s="26"/>
      <c r="I18" s="26"/>
      <c r="N18" s="84"/>
      <c r="O18" s="84"/>
      <c r="P18" s="71"/>
      <c r="Q18" s="71"/>
      <c r="R18" s="71"/>
      <c r="S18" s="71"/>
      <c r="T18" s="72"/>
      <c r="U18" s="72"/>
      <c r="V18" s="72"/>
      <c r="W18" s="72"/>
      <c r="X18" s="83"/>
      <c r="Y18" s="83"/>
    </row>
    <row r="19" spans="2:28">
      <c r="B19" s="88"/>
      <c r="C19" s="89"/>
      <c r="D19" s="90"/>
      <c r="E19" s="90"/>
      <c r="F19" s="90"/>
      <c r="G19" s="90"/>
      <c r="H19" s="90"/>
      <c r="I19" s="90"/>
      <c r="J19" s="88"/>
      <c r="N19" s="71"/>
      <c r="O19" s="71"/>
      <c r="P19" s="71"/>
      <c r="Q19" s="71"/>
      <c r="R19" s="71"/>
      <c r="S19" s="71"/>
      <c r="T19" s="72"/>
      <c r="U19" s="72"/>
      <c r="V19" s="72"/>
      <c r="W19" s="72"/>
      <c r="X19" s="83"/>
      <c r="Y19" s="83"/>
    </row>
    <row r="20" spans="2:28">
      <c r="B20" s="88"/>
      <c r="C20" s="89"/>
      <c r="D20" s="90"/>
      <c r="E20" s="90"/>
      <c r="F20" s="90"/>
      <c r="G20" s="90"/>
      <c r="H20" s="90"/>
      <c r="I20" s="90"/>
      <c r="J20" s="88"/>
      <c r="N20" s="71"/>
      <c r="O20" s="71"/>
      <c r="P20" s="71"/>
      <c r="Q20" s="71"/>
      <c r="R20" s="71"/>
      <c r="S20" s="71"/>
      <c r="T20" s="72"/>
      <c r="U20" s="72"/>
      <c r="V20" s="72"/>
      <c r="W20" s="72"/>
      <c r="X20" s="83"/>
      <c r="Y20" s="83"/>
    </row>
    <row r="21" spans="2:28">
      <c r="B21" s="88"/>
      <c r="C21" s="89"/>
      <c r="D21" s="90"/>
      <c r="E21" s="90"/>
      <c r="F21" s="90"/>
      <c r="G21" s="90"/>
      <c r="H21" s="90"/>
      <c r="I21" s="90"/>
      <c r="J21" s="88"/>
      <c r="N21" s="71"/>
      <c r="O21" s="71"/>
      <c r="P21" s="71"/>
      <c r="Q21" s="71"/>
      <c r="R21" s="71"/>
      <c r="S21" s="71"/>
      <c r="T21" s="72"/>
      <c r="U21" s="72"/>
      <c r="V21" s="72"/>
      <c r="W21" s="72"/>
      <c r="X21" s="83"/>
      <c r="Y21" s="83"/>
    </row>
    <row r="22" spans="2:28">
      <c r="C22" s="25"/>
      <c r="D22" s="26"/>
      <c r="E22" s="26"/>
      <c r="F22" s="26"/>
      <c r="G22" s="26"/>
      <c r="H22" s="26"/>
      <c r="I22" s="26"/>
      <c r="N22" s="71"/>
      <c r="O22" s="71"/>
      <c r="P22" s="71"/>
      <c r="Q22" s="71"/>
      <c r="R22" s="71"/>
      <c r="S22" s="71"/>
      <c r="T22" s="72"/>
      <c r="U22" s="72"/>
      <c r="V22" s="72"/>
      <c r="W22" s="72"/>
      <c r="X22" s="83"/>
      <c r="Y22" s="83"/>
    </row>
    <row r="23" spans="2:28" s="1" customFormat="1">
      <c r="B23" s="19"/>
      <c r="C23" s="25"/>
      <c r="D23" s="26"/>
      <c r="E23" s="26"/>
      <c r="F23" s="336"/>
      <c r="G23" s="277"/>
      <c r="H23" s="26"/>
      <c r="I23" s="26"/>
      <c r="J23" s="20"/>
      <c r="K23" s="55"/>
      <c r="L23" s="55"/>
      <c r="M23" s="56"/>
      <c r="N23" s="71"/>
      <c r="O23" s="71"/>
      <c r="P23" s="71"/>
      <c r="Q23" s="71"/>
      <c r="R23" s="71"/>
      <c r="S23" s="71"/>
      <c r="T23" s="72"/>
      <c r="U23" s="72"/>
      <c r="V23" s="72"/>
      <c r="W23" s="72"/>
      <c r="X23" s="83"/>
      <c r="Y23" s="83"/>
      <c r="Z23" s="19"/>
      <c r="AA23" s="19"/>
      <c r="AB23" s="19"/>
    </row>
    <row r="24" spans="2:28" s="1" customFormat="1">
      <c r="C24" s="10" t="s">
        <v>87</v>
      </c>
      <c r="D24" s="9"/>
      <c r="E24" s="13"/>
      <c r="F24" s="13"/>
      <c r="G24" s="13"/>
      <c r="H24" s="26"/>
      <c r="I24" s="26"/>
      <c r="J24" s="318"/>
      <c r="K24" s="55"/>
      <c r="L24" s="55"/>
      <c r="M24" s="56"/>
      <c r="N24" s="71"/>
      <c r="O24" s="71"/>
      <c r="P24" s="71"/>
      <c r="Q24" s="71"/>
      <c r="R24" s="71"/>
      <c r="S24" s="71"/>
      <c r="T24" s="72"/>
      <c r="U24" s="72"/>
      <c r="V24" s="72"/>
      <c r="W24" s="72"/>
      <c r="X24" s="83"/>
      <c r="Y24" s="83"/>
      <c r="Z24" s="19"/>
      <c r="AA24" s="19"/>
      <c r="AB24" s="19"/>
    </row>
    <row r="25" spans="2:28" s="1" customFormat="1" ht="13.5" thickBot="1">
      <c r="B25" s="10"/>
      <c r="C25" s="133"/>
      <c r="D25" s="133"/>
      <c r="E25" s="171"/>
      <c r="F25" s="171"/>
      <c r="G25" s="13"/>
      <c r="H25" s="26"/>
      <c r="I25" s="26"/>
      <c r="J25" s="20"/>
      <c r="K25" s="55"/>
      <c r="L25" s="55"/>
      <c r="M25" s="56"/>
      <c r="N25" s="71"/>
      <c r="O25" s="71"/>
      <c r="P25" s="71"/>
      <c r="Q25" s="71"/>
      <c r="R25" s="71"/>
      <c r="S25" s="71"/>
      <c r="T25" s="72"/>
      <c r="U25" s="72"/>
      <c r="V25" s="72"/>
      <c r="W25" s="72"/>
      <c r="X25" s="83"/>
      <c r="Y25" s="83"/>
      <c r="Z25" s="19"/>
      <c r="AA25" s="19"/>
      <c r="AB25" s="19"/>
    </row>
    <row r="26" spans="2:28" s="1" customFormat="1" ht="16.5" customHeight="1">
      <c r="B26" s="19"/>
      <c r="C26" s="319" t="s">
        <v>62</v>
      </c>
      <c r="D26" s="384" t="s">
        <v>127</v>
      </c>
      <c r="E26" s="384"/>
      <c r="F26" s="380" t="s">
        <v>75</v>
      </c>
      <c r="G26" s="378" t="s">
        <v>128</v>
      </c>
      <c r="H26" s="379"/>
      <c r="I26" s="380" t="s">
        <v>75</v>
      </c>
      <c r="J26" s="20"/>
      <c r="K26" s="55"/>
      <c r="L26" s="55"/>
      <c r="M26" s="56"/>
      <c r="N26" s="71">
        <v>2018</v>
      </c>
      <c r="O26" s="71">
        <v>2019</v>
      </c>
      <c r="P26" s="71"/>
      <c r="Q26" s="71"/>
      <c r="R26" s="71"/>
      <c r="S26" s="71"/>
      <c r="T26" s="72"/>
      <c r="U26" s="72"/>
      <c r="V26" s="72"/>
      <c r="W26" s="72"/>
      <c r="X26" s="83"/>
      <c r="Y26" s="83"/>
      <c r="Z26" s="19"/>
      <c r="AA26" s="19"/>
      <c r="AB26" s="19"/>
    </row>
    <row r="27" spans="2:28" s="1" customFormat="1" ht="12" customHeight="1">
      <c r="B27" s="19"/>
      <c r="C27" s="320"/>
      <c r="D27" s="98">
        <v>2018</v>
      </c>
      <c r="E27" s="99">
        <v>2019</v>
      </c>
      <c r="F27" s="381"/>
      <c r="G27" s="252">
        <v>2018</v>
      </c>
      <c r="H27" s="99">
        <v>2019</v>
      </c>
      <c r="I27" s="381"/>
      <c r="J27" s="20"/>
      <c r="K27" s="55"/>
      <c r="L27" s="55"/>
      <c r="M27" s="56" t="s">
        <v>86</v>
      </c>
      <c r="N27" s="71">
        <f t="shared" ref="N27:O29" si="1">D28</f>
        <v>2705.5542118575008</v>
      </c>
      <c r="O27" s="71">
        <f t="shared" si="1"/>
        <v>2628.2218453606492</v>
      </c>
      <c r="P27" s="71"/>
      <c r="Q27" s="71"/>
      <c r="R27" s="71"/>
      <c r="S27" s="71"/>
      <c r="T27" s="72"/>
      <c r="U27" s="72"/>
      <c r="V27" s="72"/>
      <c r="W27" s="72"/>
      <c r="X27" s="83"/>
      <c r="Y27" s="83"/>
      <c r="Z27" s="19"/>
      <c r="AA27" s="19"/>
      <c r="AB27" s="19"/>
    </row>
    <row r="28" spans="2:28" s="1" customFormat="1">
      <c r="C28" s="172" t="s">
        <v>86</v>
      </c>
      <c r="D28" s="173">
        <f>Resumen!E41+Resumen!E46</f>
        <v>2705.5542118575008</v>
      </c>
      <c r="E28" s="174">
        <f>Resumen!F41+Resumen!F46</f>
        <v>2628.2218453606492</v>
      </c>
      <c r="F28" s="175">
        <f>+E28/D28-1</f>
        <v>-2.8582819060852915E-2</v>
      </c>
      <c r="G28" s="266">
        <f>Resumen!H41+Resumen!H46</f>
        <v>28191.191725754677</v>
      </c>
      <c r="H28" s="174">
        <f>Resumen!I41+Resumen!I46</f>
        <v>28217.35374915494</v>
      </c>
      <c r="I28" s="349">
        <f>+H28/G28-1</f>
        <v>9.2802119381008019E-4</v>
      </c>
      <c r="J28" s="318"/>
      <c r="K28" s="55"/>
      <c r="L28" s="55"/>
      <c r="M28" s="56" t="s">
        <v>2</v>
      </c>
      <c r="N28" s="71">
        <f t="shared" si="1"/>
        <v>1551.8227460000001</v>
      </c>
      <c r="O28" s="71">
        <f t="shared" si="1"/>
        <v>1797.7955641346298</v>
      </c>
      <c r="P28" s="71"/>
      <c r="Q28" s="71"/>
      <c r="R28" s="71"/>
      <c r="S28" s="71"/>
      <c r="T28" s="72"/>
      <c r="U28" s="72"/>
      <c r="V28" s="72"/>
      <c r="W28" s="72"/>
      <c r="X28" s="83"/>
      <c r="Y28" s="83"/>
      <c r="Z28" s="19"/>
      <c r="AA28" s="19"/>
      <c r="AB28" s="19"/>
    </row>
    <row r="29" spans="2:28" s="1" customFormat="1">
      <c r="C29" s="176" t="s">
        <v>2</v>
      </c>
      <c r="D29" s="177">
        <v>1551.8227460000001</v>
      </c>
      <c r="E29" s="178">
        <v>1797.7955641346298</v>
      </c>
      <c r="F29" s="179">
        <f t="shared" ref="F29:F35" si="2">+E29/D29-1</f>
        <v>0.15850574349979896</v>
      </c>
      <c r="G29" s="267">
        <v>18046.874197999998</v>
      </c>
      <c r="H29" s="178">
        <v>19751.02789528713</v>
      </c>
      <c r="I29" s="179">
        <f t="shared" ref="I29:I35" si="3">+H29/G29-1</f>
        <v>9.4429299976834358E-2</v>
      </c>
      <c r="J29" s="275"/>
      <c r="K29" s="276"/>
      <c r="L29" s="55"/>
      <c r="M29" s="56" t="s">
        <v>85</v>
      </c>
      <c r="N29" s="71">
        <f t="shared" si="1"/>
        <v>126.53516237204258</v>
      </c>
      <c r="O29" s="71">
        <f t="shared" si="1"/>
        <v>81.281686946623267</v>
      </c>
      <c r="P29" s="71"/>
      <c r="Q29" s="71"/>
      <c r="R29" s="71"/>
      <c r="S29" s="71"/>
      <c r="T29" s="72"/>
      <c r="U29" s="72"/>
      <c r="V29" s="72"/>
      <c r="W29" s="72"/>
      <c r="X29" s="83"/>
      <c r="Y29" s="83"/>
      <c r="Z29" s="19"/>
      <c r="AA29" s="19"/>
      <c r="AB29" s="19"/>
    </row>
    <row r="30" spans="2:28" s="1" customFormat="1">
      <c r="C30" s="176" t="s">
        <v>3</v>
      </c>
      <c r="D30" s="177">
        <f>Resumen!E32-SUM(TipoRecurso!D28:D29,TipoRecurso!D31:D34)</f>
        <v>126.53516237204258</v>
      </c>
      <c r="E30" s="178">
        <f>Resumen!F32-SUM(TipoRecurso!E28:E29,TipoRecurso!E31:E34)</f>
        <v>81.281686946623267</v>
      </c>
      <c r="F30" s="179">
        <f t="shared" si="2"/>
        <v>-0.35763557399455215</v>
      </c>
      <c r="G30" s="267">
        <f>Resumen!H32-SUM(TipoRecurso!G28:G29,TipoRecurso!G31:G34)</f>
        <v>1420.8490900458492</v>
      </c>
      <c r="H30" s="178">
        <f>Resumen!I32-SUM(TipoRecurso!H28:H29,TipoRecurso!H31:H34)</f>
        <v>1362.3004167693798</v>
      </c>
      <c r="I30" s="179">
        <f t="shared" si="3"/>
        <v>-4.1206820405240929E-2</v>
      </c>
      <c r="J30" s="318"/>
      <c r="K30" s="55"/>
      <c r="L30" s="55"/>
      <c r="M30" s="56" t="s">
        <v>4</v>
      </c>
      <c r="N30" s="102">
        <f>D34</f>
        <v>0.42951999999999996</v>
      </c>
      <c r="O30" s="102">
        <f>E34</f>
        <v>0.30146410345161367</v>
      </c>
      <c r="P30" s="71"/>
      <c r="Q30" s="71"/>
      <c r="R30" s="71"/>
      <c r="S30" s="71"/>
      <c r="T30" s="72"/>
      <c r="U30" s="72"/>
      <c r="V30" s="72"/>
      <c r="W30" s="72"/>
      <c r="X30" s="83"/>
      <c r="Y30" s="83"/>
      <c r="Z30" s="19"/>
      <c r="AA30" s="19"/>
      <c r="AB30" s="19"/>
    </row>
    <row r="31" spans="2:28" s="1" customFormat="1">
      <c r="C31" s="176" t="s">
        <v>6</v>
      </c>
      <c r="D31" s="177">
        <f>Resumen!E57+Resumen!E62-SUM(TipoRecurso!D32:D33)</f>
        <v>41.84527300000002</v>
      </c>
      <c r="E31" s="178">
        <f>Resumen!F57+Resumen!F62-SUM(TipoRecurso!E32:E33)</f>
        <v>46.4722184548435</v>
      </c>
      <c r="F31" s="179">
        <f t="shared" si="2"/>
        <v>0.11057271522266032</v>
      </c>
      <c r="G31" s="267">
        <f>Resumen!H57+Resumen!H62-SUM(TipoRecurso!G32:G33)</f>
        <v>361.43558594999968</v>
      </c>
      <c r="H31" s="178">
        <f>Resumen!I57+Resumen!I62-SUM(TipoRecurso!H32:H33)</f>
        <v>491.21059783234296</v>
      </c>
      <c r="I31" s="179">
        <f t="shared" si="3"/>
        <v>0.35905432925549308</v>
      </c>
      <c r="J31" s="20"/>
      <c r="K31" s="55"/>
      <c r="L31" s="55"/>
      <c r="M31" s="56" t="s">
        <v>92</v>
      </c>
      <c r="N31" s="71">
        <f t="shared" ref="N31:O33" si="4">D31</f>
        <v>41.84527300000002</v>
      </c>
      <c r="O31" s="71">
        <f t="shared" si="4"/>
        <v>46.4722184548435</v>
      </c>
      <c r="P31" s="71"/>
      <c r="Q31" s="71"/>
      <c r="R31" s="71"/>
      <c r="S31" s="71"/>
      <c r="T31" s="72"/>
      <c r="U31" s="72"/>
      <c r="V31" s="72"/>
      <c r="W31" s="72"/>
      <c r="X31" s="83"/>
      <c r="Y31" s="83"/>
      <c r="Z31" s="19"/>
      <c r="AA31" s="19"/>
      <c r="AB31" s="19"/>
    </row>
    <row r="32" spans="2:28" s="1" customFormat="1">
      <c r="C32" s="176" t="s">
        <v>14</v>
      </c>
      <c r="D32" s="177">
        <f>Resumen!E43</f>
        <v>140.08023553333334</v>
      </c>
      <c r="E32" s="178">
        <f>Resumen!F43</f>
        <v>128.53757966249995</v>
      </c>
      <c r="F32" s="179">
        <f t="shared" si="2"/>
        <v>-8.2400317410136759E-2</v>
      </c>
      <c r="G32" s="267">
        <f>Resumen!H43</f>
        <v>1361.7761413500002</v>
      </c>
      <c r="H32" s="178">
        <f>Resumen!I43</f>
        <v>1516.2087001474997</v>
      </c>
      <c r="I32" s="179">
        <f t="shared" si="3"/>
        <v>0.11340524636039095</v>
      </c>
      <c r="J32" s="20"/>
      <c r="K32" s="55"/>
      <c r="L32" s="55"/>
      <c r="M32" s="56" t="s">
        <v>14</v>
      </c>
      <c r="N32" s="71">
        <f t="shared" si="4"/>
        <v>140.08023553333334</v>
      </c>
      <c r="O32" s="71">
        <f t="shared" si="4"/>
        <v>128.53757966249995</v>
      </c>
      <c r="P32" s="71"/>
      <c r="Q32" s="71"/>
      <c r="R32" s="71"/>
      <c r="S32" s="71"/>
      <c r="T32" s="72"/>
      <c r="U32" s="72"/>
      <c r="V32" s="72"/>
      <c r="W32" s="72"/>
      <c r="X32" s="83"/>
      <c r="Y32" s="83"/>
      <c r="Z32" s="19"/>
      <c r="AA32" s="19"/>
      <c r="AB32" s="19"/>
    </row>
    <row r="33" spans="2:28" s="1" customFormat="1">
      <c r="C33" s="176" t="s">
        <v>5</v>
      </c>
      <c r="D33" s="177">
        <f>Resumen!E44</f>
        <v>76.712831999999992</v>
      </c>
      <c r="E33" s="178">
        <f>Resumen!F44</f>
        <v>75.155877332499983</v>
      </c>
      <c r="F33" s="179">
        <f t="shared" si="2"/>
        <v>-2.0295883060346576E-2</v>
      </c>
      <c r="G33" s="267">
        <f>Resumen!H44</f>
        <v>668.74118300000021</v>
      </c>
      <c r="H33" s="178">
        <f>Resumen!I44</f>
        <v>684.22581149500002</v>
      </c>
      <c r="I33" s="179">
        <f t="shared" si="3"/>
        <v>2.3154889946414237E-2</v>
      </c>
      <c r="J33" s="20"/>
      <c r="K33" s="55"/>
      <c r="L33" s="55"/>
      <c r="M33" s="56" t="s">
        <v>5</v>
      </c>
      <c r="N33" s="71">
        <f t="shared" si="4"/>
        <v>76.712831999999992</v>
      </c>
      <c r="O33" s="71">
        <f t="shared" si="4"/>
        <v>75.155877332499983</v>
      </c>
      <c r="P33" s="71"/>
      <c r="Q33" s="71"/>
      <c r="R33" s="71"/>
      <c r="S33" s="71"/>
      <c r="T33" s="72"/>
      <c r="U33" s="72"/>
      <c r="V33" s="72"/>
      <c r="W33" s="72"/>
      <c r="X33" s="83"/>
      <c r="Y33" s="83"/>
      <c r="Z33" s="19"/>
      <c r="AA33" s="19"/>
      <c r="AB33" s="19"/>
    </row>
    <row r="34" spans="2:28" s="1" customFormat="1" ht="13.5" thickBot="1">
      <c r="C34" s="180" t="s">
        <v>4</v>
      </c>
      <c r="D34" s="181">
        <v>0.42951999999999996</v>
      </c>
      <c r="E34" s="182">
        <v>0.30146410345161367</v>
      </c>
      <c r="F34" s="183">
        <f t="shared" si="2"/>
        <v>-0.298137214910566</v>
      </c>
      <c r="G34" s="268">
        <v>3.8411500000000003</v>
      </c>
      <c r="H34" s="182">
        <v>4.0978342130516134</v>
      </c>
      <c r="I34" s="183">
        <f t="shared" si="3"/>
        <v>6.6824834503107944E-2</v>
      </c>
      <c r="J34" s="20"/>
      <c r="K34" s="55"/>
      <c r="L34" s="55"/>
      <c r="M34" s="100"/>
      <c r="N34" s="101">
        <f>SUM(N27:N33)</f>
        <v>4642.9799807628769</v>
      </c>
      <c r="O34" s="101">
        <f>SUM(O27:O33)</f>
        <v>4757.7662359951973</v>
      </c>
      <c r="P34" s="71"/>
      <c r="Q34" s="71"/>
      <c r="R34" s="71"/>
      <c r="S34" s="71"/>
      <c r="T34" s="72"/>
      <c r="U34" s="72"/>
      <c r="V34" s="72"/>
      <c r="W34" s="72"/>
      <c r="X34" s="83"/>
      <c r="Y34" s="83"/>
      <c r="Z34" s="19"/>
      <c r="AA34" s="19"/>
      <c r="AB34" s="19"/>
    </row>
    <row r="35" spans="2:28" s="1" customFormat="1" ht="15" customHeight="1" thickTop="1" thickBot="1">
      <c r="C35" s="321" t="s">
        <v>114</v>
      </c>
      <c r="D35" s="322">
        <f>SUM(D28:D34)</f>
        <v>4642.9799807628769</v>
      </c>
      <c r="E35" s="323">
        <f>SUM(E28:E34)</f>
        <v>4757.7662359951973</v>
      </c>
      <c r="F35" s="324">
        <f t="shared" si="2"/>
        <v>2.472253934066293E-2</v>
      </c>
      <c r="G35" s="325">
        <f>SUM(G28:G34)</f>
        <v>50054.709074100523</v>
      </c>
      <c r="H35" s="323">
        <f>SUM(H28:H34)</f>
        <v>52026.425004899349</v>
      </c>
      <c r="I35" s="326">
        <f t="shared" si="3"/>
        <v>3.9391217475261309E-2</v>
      </c>
      <c r="J35" s="20"/>
      <c r="K35" s="55"/>
      <c r="L35" s="55"/>
      <c r="M35" s="56"/>
      <c r="N35" s="71"/>
      <c r="O35" s="71"/>
      <c r="P35" s="71"/>
      <c r="Q35" s="71"/>
      <c r="R35" s="71"/>
      <c r="S35" s="71"/>
      <c r="T35" s="72"/>
      <c r="U35" s="72"/>
      <c r="V35" s="72"/>
      <c r="W35" s="72"/>
      <c r="X35" s="83"/>
      <c r="Y35" s="83"/>
      <c r="Z35" s="19"/>
      <c r="AA35" s="19"/>
      <c r="AB35" s="19"/>
    </row>
    <row r="36" spans="2:28" s="1" customFormat="1">
      <c r="B36" s="16"/>
      <c r="C36" s="184"/>
      <c r="D36" s="184"/>
      <c r="E36" s="185"/>
      <c r="F36" s="186"/>
      <c r="G36" s="17"/>
      <c r="H36" s="17"/>
      <c r="I36" s="18"/>
      <c r="J36" s="20"/>
      <c r="K36" s="55"/>
      <c r="L36" s="55"/>
      <c r="M36" s="56"/>
      <c r="N36" s="101"/>
      <c r="O36" s="71"/>
      <c r="P36" s="71"/>
      <c r="Q36" s="71"/>
      <c r="R36" s="71"/>
      <c r="S36" s="71"/>
      <c r="T36" s="72"/>
      <c r="U36" s="72"/>
      <c r="V36" s="72"/>
      <c r="W36" s="72"/>
      <c r="X36" s="83"/>
      <c r="Y36" s="83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5"/>
      <c r="L37" s="55"/>
      <c r="M37" s="56"/>
      <c r="N37" s="71"/>
      <c r="O37" s="71"/>
      <c r="P37" s="71"/>
      <c r="Q37" s="71"/>
      <c r="R37" s="71"/>
      <c r="S37" s="71"/>
      <c r="T37" s="72"/>
      <c r="U37" s="72"/>
      <c r="V37" s="72"/>
      <c r="W37" s="72"/>
      <c r="X37" s="83"/>
      <c r="Y37" s="83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5"/>
      <c r="L38" s="55"/>
      <c r="M38" s="56"/>
      <c r="N38" s="71"/>
      <c r="O38" s="71"/>
      <c r="P38" s="71"/>
      <c r="Q38" s="71"/>
      <c r="R38" s="71"/>
      <c r="S38" s="71"/>
      <c r="T38" s="72"/>
      <c r="U38" s="72"/>
      <c r="V38" s="72"/>
      <c r="W38" s="72"/>
      <c r="X38" s="83"/>
      <c r="Y38" s="83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5"/>
      <c r="L39" s="55"/>
      <c r="M39" s="241"/>
      <c r="N39" s="241"/>
      <c r="O39" s="71"/>
      <c r="P39" s="71"/>
      <c r="Q39" s="71"/>
      <c r="R39" s="71"/>
      <c r="S39" s="71"/>
      <c r="T39" s="72"/>
      <c r="U39" s="72"/>
      <c r="V39" s="72"/>
      <c r="W39" s="72"/>
      <c r="X39" s="83"/>
      <c r="Y39" s="83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5"/>
      <c r="L40" s="55"/>
      <c r="M40" s="241">
        <f t="shared" ref="M40:N46" si="5">N27/N$34</f>
        <v>0.58271933608745774</v>
      </c>
      <c r="N40" s="241">
        <f t="shared" si="5"/>
        <v>0.5524066788899088</v>
      </c>
      <c r="O40" s="71"/>
      <c r="P40" s="71"/>
      <c r="Q40" s="71"/>
      <c r="R40" s="71"/>
      <c r="S40" s="71"/>
      <c r="T40" s="72"/>
      <c r="U40" s="72"/>
      <c r="V40" s="72"/>
      <c r="W40" s="72"/>
      <c r="X40" s="83"/>
      <c r="Y40" s="83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5"/>
      <c r="L41" s="55"/>
      <c r="M41" s="241">
        <f t="shared" si="5"/>
        <v>0.33422990243973089</v>
      </c>
      <c r="N41" s="241">
        <f t="shared" si="5"/>
        <v>0.37786546773426732</v>
      </c>
      <c r="O41" s="71"/>
      <c r="P41" s="71"/>
      <c r="Q41" s="71"/>
      <c r="R41" s="71"/>
      <c r="S41" s="71"/>
      <c r="T41" s="72"/>
      <c r="U41" s="72"/>
      <c r="V41" s="72"/>
      <c r="W41" s="72"/>
      <c r="X41" s="83"/>
      <c r="Y41" s="83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5"/>
      <c r="L42" s="55"/>
      <c r="M42" s="241">
        <f t="shared" si="5"/>
        <v>2.7253006236579096E-2</v>
      </c>
      <c r="N42" s="241">
        <f t="shared" si="5"/>
        <v>1.7084001801450699E-2</v>
      </c>
      <c r="O42" s="71"/>
      <c r="P42" s="71"/>
      <c r="Q42" s="71"/>
      <c r="R42" s="71"/>
      <c r="S42" s="71"/>
      <c r="T42" s="72"/>
      <c r="U42" s="72"/>
      <c r="V42" s="72"/>
      <c r="W42" s="72"/>
      <c r="X42" s="83"/>
      <c r="Y42" s="83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5"/>
      <c r="L43" s="55"/>
      <c r="M43" s="241">
        <f t="shared" si="5"/>
        <v>9.2509552438222343E-5</v>
      </c>
      <c r="N43" s="241">
        <f t="shared" si="5"/>
        <v>6.3362529493539828E-5</v>
      </c>
      <c r="O43" s="71"/>
      <c r="P43" s="71"/>
      <c r="Q43" s="71"/>
      <c r="R43" s="71"/>
      <c r="S43" s="71"/>
      <c r="T43" s="72"/>
      <c r="U43" s="72"/>
      <c r="V43" s="72"/>
      <c r="W43" s="72"/>
      <c r="X43" s="83"/>
      <c r="Y43" s="83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5"/>
      <c r="L44" s="55"/>
      <c r="M44" s="241">
        <f t="shared" si="5"/>
        <v>9.0125895811259821E-3</v>
      </c>
      <c r="N44" s="241">
        <f t="shared" si="5"/>
        <v>9.7676548509791922E-3</v>
      </c>
      <c r="O44" s="71"/>
      <c r="P44" s="71"/>
      <c r="Q44" s="71"/>
      <c r="R44" s="71"/>
      <c r="S44" s="71"/>
      <c r="T44" s="72"/>
      <c r="U44" s="72"/>
      <c r="V44" s="72"/>
      <c r="W44" s="72"/>
      <c r="X44" s="83"/>
      <c r="Y44" s="83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5"/>
      <c r="L45" s="55"/>
      <c r="M45" s="241">
        <f t="shared" si="5"/>
        <v>3.0170329425008007E-2</v>
      </c>
      <c r="N45" s="241">
        <f t="shared" si="5"/>
        <v>2.7016371399258821E-2</v>
      </c>
      <c r="O45" s="71"/>
      <c r="P45" s="71"/>
      <c r="Q45" s="71"/>
      <c r="R45" s="71"/>
      <c r="S45" s="71"/>
      <c r="T45" s="72"/>
      <c r="U45" s="72"/>
      <c r="V45" s="72"/>
      <c r="W45" s="72"/>
      <c r="X45" s="83"/>
      <c r="Y45" s="83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5"/>
      <c r="L46" s="55"/>
      <c r="M46" s="241">
        <f t="shared" si="5"/>
        <v>1.6522326677660043E-2</v>
      </c>
      <c r="N46" s="241">
        <f t="shared" si="5"/>
        <v>1.5796462794641569E-2</v>
      </c>
      <c r="O46" s="71"/>
      <c r="P46" s="71"/>
      <c r="Q46" s="71"/>
      <c r="R46" s="71"/>
      <c r="S46" s="71"/>
      <c r="T46" s="72"/>
      <c r="U46" s="72"/>
      <c r="V46" s="72"/>
      <c r="W46" s="72"/>
      <c r="X46" s="83"/>
      <c r="Y46" s="83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5"/>
      <c r="L47" s="55"/>
      <c r="M47" s="241">
        <f>N34/N$34</f>
        <v>1</v>
      </c>
      <c r="N47" s="241">
        <f>O34/O$34</f>
        <v>1</v>
      </c>
      <c r="O47" s="71"/>
      <c r="P47" s="71"/>
      <c r="Q47" s="71"/>
      <c r="R47" s="71"/>
      <c r="S47" s="71"/>
      <c r="T47" s="72"/>
      <c r="U47" s="72"/>
      <c r="V47" s="72"/>
      <c r="W47" s="72"/>
      <c r="X47" s="83"/>
      <c r="Y47" s="83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5"/>
      <c r="L48" s="55"/>
      <c r="M48" s="56"/>
      <c r="N48" s="71"/>
      <c r="O48" s="71"/>
      <c r="P48" s="71"/>
      <c r="Q48" s="71"/>
      <c r="R48" s="71"/>
      <c r="S48" s="71"/>
      <c r="T48" s="72"/>
      <c r="U48" s="72"/>
      <c r="V48" s="72"/>
      <c r="W48" s="72"/>
      <c r="X48" s="83"/>
      <c r="Y48" s="83"/>
      <c r="Z48" s="19"/>
      <c r="AA48" s="19"/>
      <c r="AB48" s="19"/>
    </row>
    <row r="49" spans="2:28" ht="15">
      <c r="B49" s="23" t="s">
        <v>104</v>
      </c>
      <c r="D49" s="26"/>
      <c r="E49" s="26"/>
      <c r="F49" s="26"/>
      <c r="G49" s="26"/>
      <c r="H49" s="26"/>
      <c r="I49" s="26"/>
      <c r="M49" s="242">
        <f>SUM(M39:M46)</f>
        <v>1</v>
      </c>
      <c r="N49" s="242">
        <f>SUM(N39:N46)</f>
        <v>0.99999999999999989</v>
      </c>
      <c r="O49" s="71"/>
      <c r="P49" s="71"/>
      <c r="Q49" s="71"/>
      <c r="R49" s="71"/>
      <c r="S49" s="71"/>
      <c r="T49" s="72"/>
      <c r="U49" s="72"/>
      <c r="V49" s="72"/>
      <c r="W49" s="72"/>
      <c r="X49" s="83"/>
      <c r="Y49" s="83"/>
    </row>
    <row r="50" spans="2:28">
      <c r="C50" s="25"/>
      <c r="D50" s="26"/>
      <c r="E50" s="26"/>
      <c r="F50" s="26"/>
      <c r="G50" s="26"/>
      <c r="H50" s="26"/>
      <c r="I50" s="26"/>
      <c r="N50" s="71"/>
      <c r="O50" s="71"/>
      <c r="P50" s="71"/>
      <c r="Q50" s="71"/>
      <c r="R50" s="71"/>
      <c r="S50" s="71"/>
      <c r="T50" s="72"/>
      <c r="U50" s="72"/>
      <c r="V50" s="72"/>
      <c r="W50" s="72"/>
      <c r="X50" s="83"/>
      <c r="Y50" s="83"/>
    </row>
    <row r="51" spans="2:28">
      <c r="C51" s="10" t="s">
        <v>103</v>
      </c>
      <c r="D51" s="26"/>
      <c r="E51" s="26"/>
      <c r="F51" s="26"/>
      <c r="G51" s="26"/>
      <c r="H51" s="26"/>
      <c r="I51" s="26"/>
      <c r="N51" s="71"/>
      <c r="O51" s="71"/>
      <c r="P51" s="71"/>
      <c r="Q51" s="71"/>
      <c r="R51" s="71"/>
      <c r="S51" s="71"/>
      <c r="T51" s="72"/>
      <c r="U51" s="72"/>
      <c r="V51" s="72"/>
      <c r="W51" s="72"/>
      <c r="X51" s="83"/>
      <c r="Y51" s="83"/>
    </row>
    <row r="52" spans="2:28" ht="13.5" thickBot="1">
      <c r="C52" s="10"/>
      <c r="D52" s="26"/>
      <c r="E52" s="26"/>
      <c r="F52" s="26"/>
      <c r="G52" s="26"/>
      <c r="H52" s="26"/>
      <c r="I52" s="26"/>
      <c r="N52" s="71"/>
      <c r="O52" s="71"/>
      <c r="P52" s="71"/>
      <c r="Q52" s="71"/>
      <c r="R52" s="71"/>
      <c r="S52" s="71"/>
      <c r="T52" s="71"/>
      <c r="U52" s="71"/>
      <c r="V52" s="74"/>
    </row>
    <row r="53" spans="2:28">
      <c r="C53" s="382" t="s">
        <v>93</v>
      </c>
      <c r="D53" s="384" t="s">
        <v>127</v>
      </c>
      <c r="E53" s="384"/>
      <c r="F53" s="380" t="s">
        <v>75</v>
      </c>
      <c r="G53" s="378" t="s">
        <v>128</v>
      </c>
      <c r="H53" s="379"/>
      <c r="I53" s="380" t="s">
        <v>75</v>
      </c>
      <c r="N53" s="71"/>
      <c r="O53" s="71"/>
      <c r="P53" s="71"/>
      <c r="Q53" s="71"/>
      <c r="R53" s="71"/>
      <c r="S53" s="71"/>
      <c r="T53" s="71"/>
      <c r="U53" s="71"/>
      <c r="V53" s="74"/>
    </row>
    <row r="54" spans="2:28" s="1" customFormat="1">
      <c r="B54" s="19"/>
      <c r="C54" s="383"/>
      <c r="D54" s="98">
        <v>2018</v>
      </c>
      <c r="E54" s="99">
        <v>2019</v>
      </c>
      <c r="F54" s="381"/>
      <c r="G54" s="252">
        <v>2018</v>
      </c>
      <c r="H54" s="99">
        <v>2019</v>
      </c>
      <c r="I54" s="381"/>
      <c r="J54" s="20"/>
      <c r="K54" s="55"/>
      <c r="L54" s="55"/>
      <c r="M54" s="56"/>
      <c r="N54" s="71"/>
      <c r="O54" s="71"/>
      <c r="P54" s="71"/>
      <c r="Q54" s="71"/>
      <c r="R54" s="71"/>
      <c r="S54" s="71"/>
      <c r="T54" s="71"/>
      <c r="U54" s="71"/>
      <c r="V54" s="74"/>
      <c r="W54" s="58"/>
      <c r="X54" s="58"/>
      <c r="Y54" s="58"/>
      <c r="Z54" s="19"/>
      <c r="AA54" s="19"/>
      <c r="AB54" s="19"/>
    </row>
    <row r="55" spans="2:28" ht="24.75" customHeight="1">
      <c r="C55" s="304" t="s">
        <v>42</v>
      </c>
      <c r="D55" s="305">
        <f>SUM(D28:D30,D34)</f>
        <v>4384.3416402295434</v>
      </c>
      <c r="E55" s="306">
        <f>SUM(E28:E30,E34)</f>
        <v>4507.6005605453538</v>
      </c>
      <c r="F55" s="307">
        <f>+E55/D55-1</f>
        <v>2.8113438785157596E-2</v>
      </c>
      <c r="G55" s="308">
        <f>SUM(G28:G30,G34)</f>
        <v>47662.756163800528</v>
      </c>
      <c r="H55" s="306">
        <f>SUM(H28:H30,H34)</f>
        <v>49334.779895424501</v>
      </c>
      <c r="I55" s="307">
        <f>+H55/G55-1</f>
        <v>3.5080298879019978E-2</v>
      </c>
      <c r="M55" s="69"/>
      <c r="N55" s="73"/>
      <c r="O55" s="73"/>
      <c r="P55" s="73"/>
      <c r="Q55" s="73"/>
      <c r="R55" s="73"/>
      <c r="S55" s="73"/>
      <c r="T55" s="71"/>
      <c r="U55" s="71"/>
    </row>
    <row r="56" spans="2:28" ht="24.75" thickBot="1">
      <c r="C56" s="309" t="s">
        <v>110</v>
      </c>
      <c r="D56" s="310">
        <f>SUM(D31:D33)</f>
        <v>258.63834053333335</v>
      </c>
      <c r="E56" s="311">
        <f>SUM(E31:E33)</f>
        <v>250.16567544984343</v>
      </c>
      <c r="F56" s="312">
        <f>+E56/D56-1</f>
        <v>-3.2758735870399569E-2</v>
      </c>
      <c r="G56" s="313">
        <f>SUM(G31:G33)</f>
        <v>2391.9529103</v>
      </c>
      <c r="H56" s="311">
        <f>SUM(H31:H33)</f>
        <v>2691.6451094748427</v>
      </c>
      <c r="I56" s="314">
        <f>+H56/G56-1</f>
        <v>0.12529184746252175</v>
      </c>
      <c r="N56" s="71"/>
      <c r="O56" s="71"/>
      <c r="P56" s="71"/>
      <c r="Q56" s="71"/>
      <c r="R56" s="71"/>
      <c r="S56" s="71"/>
      <c r="T56" s="71"/>
      <c r="U56" s="71"/>
    </row>
    <row r="57" spans="2:28">
      <c r="C57" s="115" t="s">
        <v>72</v>
      </c>
      <c r="D57" s="103">
        <f>SUM(D55:D56)</f>
        <v>4642.9799807628769</v>
      </c>
      <c r="E57" s="104">
        <f>SUM(E55:E56)</f>
        <v>4757.7662359951973</v>
      </c>
      <c r="F57" s="105">
        <f>+E57/D57-1</f>
        <v>2.472253934066293E-2</v>
      </c>
      <c r="G57" s="269">
        <f>SUM(G55:G56)</f>
        <v>50054.70907410053</v>
      </c>
      <c r="H57" s="104">
        <f>SUM(H55:H56)</f>
        <v>52026.425004899342</v>
      </c>
      <c r="I57" s="105">
        <f>+H57/G57-1</f>
        <v>3.9391217475260865E-2</v>
      </c>
      <c r="N57" s="75"/>
      <c r="O57" s="75"/>
      <c r="P57" s="75"/>
      <c r="Q57" s="75"/>
      <c r="R57" s="75"/>
      <c r="S57" s="75"/>
      <c r="T57" s="75"/>
      <c r="U57" s="75"/>
    </row>
    <row r="58" spans="2:28" ht="13.5" thickBot="1">
      <c r="C58" s="128" t="s">
        <v>8</v>
      </c>
      <c r="D58" s="106">
        <f>+D56/D57</f>
        <v>5.5705245683794029E-2</v>
      </c>
      <c r="E58" s="107">
        <f>+E56/E57</f>
        <v>5.258048904487958E-2</v>
      </c>
      <c r="F58" s="108"/>
      <c r="G58" s="270">
        <f>+G56/G57</f>
        <v>4.7786770806298666E-2</v>
      </c>
      <c r="H58" s="107">
        <f>+H56/H57</f>
        <v>5.1736115045793937E-2</v>
      </c>
      <c r="I58" s="108"/>
      <c r="N58" s="75"/>
      <c r="O58" s="75"/>
      <c r="P58" s="75"/>
      <c r="Q58" s="75"/>
      <c r="R58" s="75"/>
      <c r="S58" s="75"/>
      <c r="T58" s="75"/>
      <c r="U58" s="75"/>
    </row>
    <row r="59" spans="2:28" s="1" customFormat="1">
      <c r="B59" s="19"/>
      <c r="C59" s="279" t="s">
        <v>111</v>
      </c>
      <c r="D59" s="126"/>
      <c r="E59" s="126"/>
      <c r="F59" s="127"/>
      <c r="G59" s="26"/>
      <c r="H59" s="26"/>
      <c r="I59" s="26"/>
      <c r="J59" s="20"/>
      <c r="K59" s="55"/>
      <c r="L59" s="55"/>
      <c r="M59" s="56"/>
      <c r="N59" s="75"/>
      <c r="O59" s="75"/>
      <c r="P59" s="75"/>
      <c r="Q59" s="75"/>
      <c r="R59" s="75"/>
      <c r="S59" s="75"/>
      <c r="T59" s="75"/>
      <c r="U59" s="75"/>
      <c r="V59" s="58"/>
      <c r="W59" s="58"/>
      <c r="X59" s="58"/>
      <c r="Y59" s="58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6"/>
      <c r="L60" s="58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2:28">
      <c r="K61" s="76"/>
      <c r="L61" s="58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2:28">
      <c r="K62" s="76"/>
      <c r="L62" s="56"/>
      <c r="P62" s="77"/>
      <c r="Q62" s="77"/>
      <c r="R62" s="77"/>
      <c r="S62" s="77"/>
      <c r="T62" s="77"/>
      <c r="U62" s="77"/>
      <c r="V62" s="77"/>
    </row>
    <row r="63" spans="2:28" ht="25.5">
      <c r="L63" s="86" t="s">
        <v>58</v>
      </c>
      <c r="M63" s="77">
        <f>D55</f>
        <v>4384.3416402295434</v>
      </c>
      <c r="N63" s="77">
        <f>E55</f>
        <v>4507.6005605453538</v>
      </c>
      <c r="O63" s="85">
        <v>4.4847805250167516E-2</v>
      </c>
      <c r="P63" s="78"/>
      <c r="Q63" s="78"/>
      <c r="R63" s="78"/>
      <c r="S63" s="78"/>
      <c r="T63" s="78"/>
    </row>
    <row r="64" spans="2:28" s="1" customFormat="1" ht="38.25">
      <c r="B64" s="19"/>
      <c r="J64" s="20"/>
      <c r="K64" s="76"/>
      <c r="L64" s="86" t="s">
        <v>59</v>
      </c>
      <c r="M64" s="77">
        <f>D56</f>
        <v>258.63834053333335</v>
      </c>
      <c r="N64" s="77">
        <f>E56</f>
        <v>250.16567544984343</v>
      </c>
      <c r="O64" s="85">
        <v>0.12281081992035348</v>
      </c>
      <c r="P64" s="77"/>
      <c r="Q64" s="77"/>
      <c r="R64" s="77"/>
      <c r="S64" s="77"/>
      <c r="T64" s="77"/>
      <c r="U64" s="77"/>
      <c r="V64" s="77"/>
      <c r="W64" s="77"/>
      <c r="X64" s="77"/>
      <c r="Y64" s="58"/>
      <c r="Z64" s="19"/>
      <c r="AA64" s="19"/>
      <c r="AB64" s="19"/>
    </row>
    <row r="65" spans="2:28" s="1" customFormat="1">
      <c r="B65" s="19"/>
      <c r="J65" s="20"/>
      <c r="K65" s="76"/>
      <c r="L65" s="58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58"/>
      <c r="Z65" s="19"/>
      <c r="AA65" s="19"/>
      <c r="AB65" s="19"/>
    </row>
    <row r="66" spans="2:28">
      <c r="K66" s="76"/>
      <c r="L66" s="58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2:28">
      <c r="K67" s="76"/>
      <c r="L67" s="58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2:28" ht="26.25" customHeight="1"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2:28" ht="24.75" customHeight="1"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2:28">
      <c r="M70" s="69"/>
      <c r="N70" s="73"/>
      <c r="O70" s="73"/>
      <c r="P70" s="73"/>
      <c r="Q70" s="73"/>
      <c r="R70" s="73"/>
      <c r="S70" s="73"/>
      <c r="T70" s="73"/>
      <c r="U70" s="73"/>
      <c r="V70" s="71"/>
    </row>
    <row r="71" spans="2:28">
      <c r="C71" s="279" t="s">
        <v>111</v>
      </c>
      <c r="M71" s="69"/>
      <c r="N71" s="79"/>
      <c r="O71" s="79"/>
      <c r="P71" s="79"/>
      <c r="Q71" s="79"/>
      <c r="R71" s="79"/>
      <c r="S71" s="79"/>
      <c r="T71" s="79"/>
      <c r="U71" s="79"/>
      <c r="V71" s="80"/>
    </row>
    <row r="72" spans="2:28" ht="15">
      <c r="B72" s="23" t="s">
        <v>124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5"/>
      <c r="L73" s="55"/>
      <c r="M73" s="56"/>
      <c r="N73" s="56"/>
      <c r="O73" s="56"/>
      <c r="P73" s="56"/>
      <c r="Q73" s="56"/>
      <c r="R73" s="56"/>
      <c r="S73" s="56"/>
      <c r="T73" s="56"/>
      <c r="U73" s="56"/>
      <c r="V73" s="58"/>
      <c r="W73" s="58"/>
      <c r="X73" s="58"/>
      <c r="Y73" s="58"/>
      <c r="Z73" s="19"/>
      <c r="AA73" s="19"/>
      <c r="AB73" s="19"/>
    </row>
    <row r="74" spans="2:28" s="1" customFormat="1" ht="15">
      <c r="B74" s="23"/>
      <c r="C74" s="10" t="s">
        <v>100</v>
      </c>
      <c r="D74" s="20"/>
      <c r="E74" s="20"/>
      <c r="F74" s="20"/>
      <c r="G74" s="20"/>
      <c r="H74" s="20"/>
      <c r="I74" s="20"/>
      <c r="J74" s="20"/>
      <c r="K74" s="55"/>
      <c r="L74" s="55"/>
      <c r="M74" s="56"/>
      <c r="N74" s="56"/>
      <c r="O74" s="56"/>
      <c r="P74" s="56"/>
      <c r="Q74" s="56"/>
      <c r="R74" s="56"/>
      <c r="S74" s="56"/>
      <c r="T74" s="56"/>
      <c r="U74" s="56"/>
      <c r="V74" s="58"/>
      <c r="W74" s="58"/>
      <c r="X74" s="58"/>
      <c r="Y74" s="58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8"/>
      <c r="L75" s="58"/>
      <c r="M75" s="56"/>
      <c r="N75" s="56">
        <v>2018</v>
      </c>
      <c r="O75" s="56">
        <v>2019</v>
      </c>
      <c r="P75" s="56"/>
      <c r="Q75" s="56"/>
      <c r="R75" s="56"/>
      <c r="S75" s="56"/>
      <c r="T75" s="56"/>
      <c r="U75" s="56"/>
      <c r="V75" s="58"/>
      <c r="W75" s="58"/>
      <c r="X75" s="58"/>
      <c r="Y75" s="58"/>
      <c r="Z75" s="19"/>
      <c r="AA75" s="19"/>
      <c r="AB75" s="19"/>
    </row>
    <row r="76" spans="2:28" s="1" customFormat="1" ht="15" customHeight="1">
      <c r="B76" s="19"/>
      <c r="C76" s="337"/>
      <c r="D76" s="384" t="s">
        <v>127</v>
      </c>
      <c r="E76" s="384"/>
      <c r="F76" s="109" t="s">
        <v>75</v>
      </c>
      <c r="G76" s="378" t="s">
        <v>128</v>
      </c>
      <c r="H76" s="379"/>
      <c r="I76" s="239" t="s">
        <v>75</v>
      </c>
      <c r="J76" s="19"/>
      <c r="K76" s="58"/>
      <c r="L76" s="58"/>
      <c r="M76" s="56" t="s">
        <v>98</v>
      </c>
      <c r="N76" s="71">
        <f>D78</f>
        <v>4.2279296500000001</v>
      </c>
      <c r="O76" s="71">
        <f>E78</f>
        <v>2.9321325900000001</v>
      </c>
      <c r="P76" s="56"/>
      <c r="Q76" s="56"/>
      <c r="R76" s="56"/>
      <c r="S76" s="56"/>
      <c r="T76" s="56"/>
      <c r="U76" s="56"/>
      <c r="V76" s="58"/>
      <c r="W76" s="58"/>
      <c r="X76" s="58"/>
      <c r="Y76" s="58"/>
      <c r="Z76" s="19"/>
      <c r="AA76" s="19"/>
      <c r="AB76" s="19"/>
    </row>
    <row r="77" spans="2:28" s="1" customFormat="1" ht="12.75" customHeight="1">
      <c r="B77" s="19"/>
      <c r="C77" s="129" t="s">
        <v>97</v>
      </c>
      <c r="D77" s="130">
        <v>2018</v>
      </c>
      <c r="E77" s="244">
        <v>2019</v>
      </c>
      <c r="F77" s="110"/>
      <c r="G77" s="271">
        <v>2018</v>
      </c>
      <c r="H77" s="244">
        <v>2019</v>
      </c>
      <c r="I77" s="240"/>
      <c r="J77" s="19"/>
      <c r="K77" s="58"/>
      <c r="L77" s="58"/>
      <c r="M77" s="56" t="s">
        <v>99</v>
      </c>
      <c r="N77" s="71">
        <f>D79</f>
        <v>4401.4615329908347</v>
      </c>
      <c r="O77" s="71">
        <f>E79</f>
        <v>4512.1880253694426</v>
      </c>
      <c r="P77" s="56"/>
      <c r="Q77" s="56"/>
      <c r="R77" s="56"/>
      <c r="S77" s="56"/>
      <c r="T77" s="56"/>
      <c r="U77" s="56"/>
      <c r="V77" s="58"/>
      <c r="W77" s="58"/>
      <c r="X77" s="58"/>
      <c r="Y77" s="58"/>
      <c r="Z77" s="19"/>
      <c r="AA77" s="19"/>
      <c r="AB77" s="19"/>
    </row>
    <row r="78" spans="2:28" ht="12.75" customHeight="1">
      <c r="C78" s="223" t="s">
        <v>98</v>
      </c>
      <c r="D78" s="338">
        <v>4.2279296500000001</v>
      </c>
      <c r="E78" s="351">
        <v>2.9321325900000001</v>
      </c>
      <c r="F78" s="164">
        <f>((E78/D78)-1)</f>
        <v>-0.30648500974939352</v>
      </c>
      <c r="G78" s="248">
        <v>134.07103784750001</v>
      </c>
      <c r="H78" s="354">
        <v>191.64180984750001</v>
      </c>
      <c r="I78" s="164">
        <f>((H78/G78)-1)</f>
        <v>0.42940498503102709</v>
      </c>
      <c r="J78" s="19"/>
      <c r="K78" s="274"/>
      <c r="L78" s="58"/>
    </row>
    <row r="79" spans="2:28" ht="16.5" customHeight="1" thickBot="1">
      <c r="C79" s="315" t="s">
        <v>99</v>
      </c>
      <c r="D79" s="166">
        <f>Resumen!E40-D78</f>
        <v>4401.4615329908347</v>
      </c>
      <c r="E79" s="352">
        <f>Resumen!F40-E78</f>
        <v>4512.1880253694426</v>
      </c>
      <c r="F79" s="168">
        <f>((E79/D79)-1)</f>
        <v>2.5156755670512121E-2</v>
      </c>
      <c r="G79" s="249">
        <f>Resumen!H40-G78</f>
        <v>47609.837500229267</v>
      </c>
      <c r="H79" s="352">
        <f>Resumen!I40-H78</f>
        <v>49521.41480970219</v>
      </c>
      <c r="I79" s="168">
        <f>((H79/G79)-1)</f>
        <v>4.0150889182592131E-2</v>
      </c>
      <c r="J79" s="19"/>
      <c r="K79" s="58"/>
      <c r="L79" s="58"/>
      <c r="M79" s="71"/>
      <c r="N79" s="71"/>
      <c r="O79" s="71"/>
    </row>
    <row r="80" spans="2:28" ht="14.25" thickTop="1" thickBot="1">
      <c r="C80" s="131" t="s">
        <v>96</v>
      </c>
      <c r="D80" s="243">
        <f>SUM(D78:D79)</f>
        <v>4405.6894626408348</v>
      </c>
      <c r="E80" s="353">
        <f>SUM(E78:E79)</f>
        <v>4515.1201579594426</v>
      </c>
      <c r="F80" s="132"/>
      <c r="G80" s="272">
        <f>SUM(G78:G79)</f>
        <v>47743.908538076765</v>
      </c>
      <c r="H80" s="353">
        <f>SUM(H78:H79)</f>
        <v>49713.056619549687</v>
      </c>
      <c r="I80" s="132"/>
      <c r="J80" s="19"/>
      <c r="K80" s="58"/>
      <c r="L80" s="58"/>
      <c r="N80" s="71"/>
      <c r="O80" s="71"/>
    </row>
    <row r="81" spans="3:12">
      <c r="C81" s="91"/>
      <c r="D81" s="92"/>
      <c r="E81" s="92"/>
      <c r="F81" s="93"/>
      <c r="G81" s="9"/>
      <c r="H81" s="19"/>
      <c r="I81" s="19"/>
      <c r="J81" s="19"/>
      <c r="K81" s="58"/>
      <c r="L81" s="58"/>
    </row>
    <row r="82" spans="3:12">
      <c r="C82" s="19"/>
      <c r="D82" s="19"/>
      <c r="E82" s="19"/>
      <c r="F82" s="19"/>
      <c r="G82" s="19"/>
      <c r="H82" s="19"/>
      <c r="I82" s="19"/>
      <c r="J82" s="19"/>
      <c r="K82" s="58"/>
      <c r="L82" s="58"/>
    </row>
    <row r="83" spans="3:12">
      <c r="C83" s="19"/>
      <c r="D83" s="19"/>
      <c r="E83" s="19"/>
      <c r="F83" s="19"/>
      <c r="G83" s="19"/>
      <c r="H83" s="19"/>
      <c r="I83" s="19"/>
      <c r="J83" s="19"/>
      <c r="K83" s="58"/>
      <c r="L83" s="58"/>
    </row>
    <row r="84" spans="3:12">
      <c r="C84" s="19"/>
      <c r="D84" s="19"/>
      <c r="E84" s="19"/>
      <c r="F84" s="19"/>
      <c r="G84" s="19"/>
      <c r="H84" s="19"/>
      <c r="I84" s="19"/>
      <c r="J84" s="19"/>
      <c r="K84" s="58"/>
      <c r="L84" s="58"/>
    </row>
    <row r="85" spans="3:12">
      <c r="C85" s="19"/>
      <c r="D85" s="19"/>
      <c r="E85" s="19"/>
      <c r="F85" s="19"/>
      <c r="G85" s="19"/>
      <c r="H85" s="19"/>
      <c r="I85" s="19"/>
      <c r="J85" s="19"/>
      <c r="K85" s="58"/>
      <c r="L85" s="58"/>
    </row>
    <row r="86" spans="3:12">
      <c r="C86" s="19"/>
      <c r="D86" s="19"/>
      <c r="E86" s="19"/>
      <c r="F86" s="19"/>
      <c r="G86" s="19"/>
      <c r="H86" s="19"/>
      <c r="I86" s="19"/>
      <c r="J86" s="19"/>
      <c r="K86" s="58"/>
      <c r="L86" s="58"/>
    </row>
    <row r="87" spans="3:12">
      <c r="C87" s="19"/>
      <c r="D87" s="19"/>
      <c r="E87" s="19"/>
      <c r="F87" s="19"/>
      <c r="G87" s="19"/>
      <c r="H87" s="19"/>
      <c r="I87" s="19"/>
      <c r="J87" s="19"/>
      <c r="K87" s="58"/>
      <c r="L87" s="58"/>
    </row>
    <row r="88" spans="3:12">
      <c r="C88" s="19"/>
      <c r="D88" s="19"/>
      <c r="E88" s="19"/>
      <c r="F88" s="19"/>
      <c r="G88" s="19"/>
      <c r="H88" s="19"/>
      <c r="I88" s="19"/>
      <c r="J88" s="19"/>
      <c r="K88" s="58"/>
      <c r="L88" s="58"/>
    </row>
    <row r="89" spans="3:12">
      <c r="C89" s="19"/>
      <c r="D89" s="19"/>
      <c r="E89" s="19"/>
      <c r="F89" s="19"/>
      <c r="G89" s="19"/>
      <c r="H89" s="19"/>
      <c r="I89" s="19"/>
      <c r="J89" s="19"/>
      <c r="K89" s="58"/>
      <c r="L89" s="58"/>
    </row>
    <row r="90" spans="3:12">
      <c r="C90" s="19"/>
      <c r="D90" s="19"/>
      <c r="E90" s="19"/>
      <c r="F90" s="19"/>
      <c r="G90" s="19"/>
      <c r="H90" s="19"/>
      <c r="I90" s="19"/>
      <c r="J90" s="19"/>
      <c r="K90" s="58"/>
      <c r="L90" s="58"/>
    </row>
    <row r="91" spans="3:12">
      <c r="C91" s="19"/>
      <c r="D91" s="19"/>
      <c r="E91" s="19"/>
      <c r="F91" s="19"/>
      <c r="G91" s="19"/>
      <c r="H91" s="19"/>
      <c r="I91" s="19"/>
      <c r="J91" s="19"/>
      <c r="K91" s="58"/>
      <c r="L91" s="58"/>
    </row>
    <row r="92" spans="3:12">
      <c r="C92" s="19"/>
      <c r="D92" s="19"/>
      <c r="E92" s="19"/>
      <c r="F92" s="19"/>
      <c r="G92" s="19"/>
      <c r="H92" s="19"/>
      <c r="I92" s="19"/>
      <c r="J92" s="19"/>
      <c r="K92" s="58"/>
      <c r="L92" s="58"/>
    </row>
    <row r="93" spans="3:12">
      <c r="C93" s="19"/>
      <c r="D93" s="19"/>
      <c r="E93" s="19"/>
      <c r="F93" s="19"/>
      <c r="G93" s="19"/>
      <c r="H93" s="19"/>
      <c r="I93" s="19"/>
      <c r="J93" s="19"/>
      <c r="K93" s="58"/>
      <c r="L93" s="58"/>
    </row>
    <row r="94" spans="3:12">
      <c r="C94" s="19"/>
      <c r="D94" s="19"/>
      <c r="E94" s="19"/>
      <c r="F94" s="19"/>
      <c r="G94" s="19"/>
      <c r="H94" s="19"/>
      <c r="I94" s="19"/>
      <c r="J94" s="19"/>
      <c r="K94" s="58"/>
      <c r="L94" s="58"/>
    </row>
    <row r="95" spans="3:12">
      <c r="C95" s="19"/>
      <c r="D95" s="19"/>
      <c r="E95" s="19"/>
      <c r="F95" s="19"/>
      <c r="G95" s="19"/>
      <c r="H95" s="19"/>
      <c r="I95" s="19"/>
      <c r="J95" s="19"/>
      <c r="K95" s="58"/>
      <c r="L95" s="58"/>
    </row>
    <row r="96" spans="3:12">
      <c r="C96" s="19"/>
      <c r="D96" s="19"/>
      <c r="E96" s="19"/>
      <c r="F96" s="19"/>
      <c r="G96" s="19"/>
      <c r="H96" s="19"/>
      <c r="I96" s="19"/>
      <c r="J96" s="19"/>
      <c r="K96" s="58"/>
      <c r="L96" s="58"/>
    </row>
    <row r="97" spans="3:12">
      <c r="C97" s="19"/>
      <c r="D97" s="19"/>
      <c r="E97" s="19"/>
      <c r="F97" s="19"/>
      <c r="G97" s="19"/>
      <c r="H97" s="19"/>
      <c r="I97" s="19"/>
      <c r="J97" s="19"/>
      <c r="K97" s="58"/>
      <c r="L97" s="58"/>
    </row>
    <row r="98" spans="3:12">
      <c r="C98" s="19"/>
      <c r="D98" s="19"/>
      <c r="E98" s="19"/>
      <c r="F98" s="19"/>
      <c r="G98" s="19"/>
      <c r="H98" s="19"/>
      <c r="I98" s="19"/>
      <c r="J98" s="19"/>
      <c r="K98" s="58"/>
      <c r="L98" s="58"/>
    </row>
    <row r="99" spans="3:12">
      <c r="C99" s="19"/>
      <c r="D99" s="19"/>
      <c r="E99" s="19"/>
      <c r="F99" s="19"/>
      <c r="G99" s="19"/>
      <c r="H99" s="19"/>
      <c r="I99" s="19"/>
      <c r="J99" s="19"/>
      <c r="K99" s="58"/>
      <c r="L99" s="58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8"/>
      <c r="L100" s="58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8"/>
      <c r="L101" s="58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8"/>
      <c r="L102" s="58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8"/>
      <c r="L103" s="58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8"/>
      <c r="L104" s="58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8"/>
      <c r="L105" s="58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8"/>
      <c r="L106" s="58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24" zoomScaleNormal="100" zoomScaleSheetLayoutView="100" workbookViewId="0">
      <selection activeCell="I50" sqref="I50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94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105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89"/>
      <c r="D7" s="90"/>
      <c r="E7" s="90"/>
      <c r="F7" s="90"/>
      <c r="G7" s="26"/>
      <c r="H7" s="26"/>
      <c r="I7" s="26"/>
      <c r="J7" s="26"/>
    </row>
    <row r="8" spans="2:13" ht="13.5" customHeight="1">
      <c r="C8" s="215" t="s">
        <v>44</v>
      </c>
      <c r="D8" s="392" t="s">
        <v>127</v>
      </c>
      <c r="E8" s="393"/>
      <c r="F8" s="380" t="s">
        <v>75</v>
      </c>
      <c r="G8" s="378" t="s">
        <v>128</v>
      </c>
      <c r="H8" s="379"/>
      <c r="I8" s="380" t="s">
        <v>75</v>
      </c>
      <c r="J8" s="26"/>
    </row>
    <row r="9" spans="2:13" s="1" customFormat="1" ht="13.5" customHeight="1">
      <c r="B9" s="19"/>
      <c r="C9" s="216"/>
      <c r="D9" s="113">
        <v>2018</v>
      </c>
      <c r="E9" s="99">
        <v>2019</v>
      </c>
      <c r="F9" s="381"/>
      <c r="G9" s="113">
        <v>2018</v>
      </c>
      <c r="H9" s="99">
        <v>2019</v>
      </c>
      <c r="I9" s="381"/>
      <c r="J9" s="26"/>
    </row>
    <row r="10" spans="2:13">
      <c r="C10" s="203" t="s">
        <v>10</v>
      </c>
      <c r="D10" s="204">
        <f>'Por Región'!O8</f>
        <v>315.85436297530458</v>
      </c>
      <c r="E10" s="205">
        <f>'Por Región'!P8</f>
        <v>251.9672992419566</v>
      </c>
      <c r="F10" s="206">
        <f>+E10/D10-1</f>
        <v>-0.20226747267804268</v>
      </c>
      <c r="G10" s="204">
        <f>'Por Región'!Q8</f>
        <v>2905.3182722215929</v>
      </c>
      <c r="H10" s="205">
        <f>'Por Región'!R8</f>
        <v>3110.8151757751302</v>
      </c>
      <c r="I10" s="206">
        <f>+H10/G10-1</f>
        <v>7.0731288037644502E-2</v>
      </c>
      <c r="J10" s="26"/>
      <c r="L10" s="150" t="s">
        <v>9</v>
      </c>
      <c r="M10" s="245">
        <f>E11</f>
        <v>3899.4224835711152</v>
      </c>
    </row>
    <row r="11" spans="2:13">
      <c r="C11" s="207" t="s">
        <v>9</v>
      </c>
      <c r="D11" s="208">
        <f>'Por Región'!O9</f>
        <v>3617.2212874567131</v>
      </c>
      <c r="E11" s="209">
        <f>'Por Región'!P9</f>
        <v>3899.4224835711152</v>
      </c>
      <c r="F11" s="210">
        <f>+E11/D11-1</f>
        <v>7.801601662938884E-2</v>
      </c>
      <c r="G11" s="208">
        <f>'Por Región'!Q9</f>
        <v>40118.552200120466</v>
      </c>
      <c r="H11" s="209">
        <f>'Por Región'!R9</f>
        <v>41961.201838895126</v>
      </c>
      <c r="I11" s="210">
        <f>+H11/G11-1</f>
        <v>4.5930113070459466E-2</v>
      </c>
      <c r="J11" s="26"/>
      <c r="L11" s="150" t="s">
        <v>12</v>
      </c>
      <c r="M11" s="245">
        <f>E12</f>
        <v>525.48389201307407</v>
      </c>
    </row>
    <row r="12" spans="2:13">
      <c r="C12" s="207" t="s">
        <v>12</v>
      </c>
      <c r="D12" s="208">
        <f>'Por Región'!O10</f>
        <v>622.31967359752457</v>
      </c>
      <c r="E12" s="209">
        <f>'Por Región'!P10</f>
        <v>525.48389201307407</v>
      </c>
      <c r="F12" s="210">
        <f>+E12/D12-1</f>
        <v>-0.15560456416982493</v>
      </c>
      <c r="G12" s="208">
        <f>'Por Región'!Q10</f>
        <v>6180.8007825557161</v>
      </c>
      <c r="H12" s="209">
        <f>'Por Región'!R10</f>
        <v>6166.3657070767003</v>
      </c>
      <c r="I12" s="355">
        <f>+H12/G12-1</f>
        <v>-2.3354701092707097E-3</v>
      </c>
      <c r="J12" s="26"/>
      <c r="L12" s="150" t="s">
        <v>10</v>
      </c>
      <c r="M12" s="245">
        <f>E10</f>
        <v>251.9672992419566</v>
      </c>
    </row>
    <row r="13" spans="2:13">
      <c r="C13" s="211" t="s">
        <v>11</v>
      </c>
      <c r="D13" s="212">
        <f>'Por Región'!O11</f>
        <v>87.584656733333333</v>
      </c>
      <c r="E13" s="213">
        <f>'Por Región'!P11</f>
        <v>80.892561169054943</v>
      </c>
      <c r="F13" s="214">
        <f>+E13/D13-1</f>
        <v>-7.6407167806270437E-2</v>
      </c>
      <c r="G13" s="212">
        <f>'Por Región'!Q11</f>
        <v>850.03781920273434</v>
      </c>
      <c r="H13" s="213">
        <f>'Por Región'!R11</f>
        <v>788.04228315238822</v>
      </c>
      <c r="I13" s="214">
        <f>+H13/G13-1</f>
        <v>-7.2932679758287544E-2</v>
      </c>
      <c r="J13" s="26"/>
      <c r="L13" s="150" t="s">
        <v>11</v>
      </c>
      <c r="M13" s="245">
        <f>E13</f>
        <v>80.892561169054943</v>
      </c>
    </row>
    <row r="14" spans="2:13" ht="13.5" thickBot="1">
      <c r="C14" s="217" t="s">
        <v>114</v>
      </c>
      <c r="D14" s="218">
        <f>SUM(D10:D13)</f>
        <v>4642.979980762876</v>
      </c>
      <c r="E14" s="219">
        <f>SUM(E10:E13)</f>
        <v>4757.766235995201</v>
      </c>
      <c r="F14" s="220">
        <f>+E14/D14-1</f>
        <v>2.4722539340663818E-2</v>
      </c>
      <c r="G14" s="218">
        <f>SUM(G10:G13)</f>
        <v>50054.709074100509</v>
      </c>
      <c r="H14" s="219">
        <f>SUM(H10:H13)</f>
        <v>52026.425004899349</v>
      </c>
      <c r="I14" s="220">
        <f>+H14/G14-1</f>
        <v>3.9391217475261531E-2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131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89" t="s">
        <v>95</v>
      </c>
      <c r="D18" s="389"/>
      <c r="E18" s="389"/>
      <c r="F18" s="389"/>
      <c r="G18" s="390" t="s">
        <v>113</v>
      </c>
      <c r="H18" s="391"/>
      <c r="I18" s="391"/>
      <c r="J18" s="391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4" t="s">
        <v>12</v>
      </c>
      <c r="R42" s="30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5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6" t="s">
        <v>11</v>
      </c>
      <c r="R45" s="37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2">
      <c r="C49" s="25"/>
      <c r="D49" s="19"/>
      <c r="E49" s="19"/>
      <c r="F49" s="19"/>
      <c r="G49" s="19"/>
      <c r="H49" s="19"/>
      <c r="I49" s="19"/>
      <c r="J49" s="19"/>
    </row>
    <row r="50" spans="3:12">
      <c r="C50" s="25"/>
      <c r="D50" s="19"/>
      <c r="E50" s="19"/>
      <c r="F50" s="19"/>
      <c r="G50" s="19"/>
      <c r="H50" s="19"/>
      <c r="I50" s="19"/>
      <c r="J50" s="19"/>
    </row>
    <row r="51" spans="3:12">
      <c r="C51" s="25"/>
      <c r="D51" s="19"/>
      <c r="E51" s="19"/>
      <c r="F51" s="19"/>
      <c r="G51" s="19"/>
      <c r="H51" s="19"/>
      <c r="I51" s="19"/>
      <c r="J51" s="19"/>
    </row>
    <row r="52" spans="3:12">
      <c r="C52" s="25"/>
      <c r="D52" s="19"/>
      <c r="E52" s="19"/>
      <c r="F52" s="19"/>
      <c r="G52" s="19"/>
      <c r="H52" s="19"/>
      <c r="I52" s="38"/>
      <c r="J52" s="19"/>
    </row>
    <row r="53" spans="3:12" ht="13.5" thickBot="1">
      <c r="C53" s="221" t="s">
        <v>101</v>
      </c>
      <c r="D53" s="88"/>
      <c r="E53" s="88"/>
      <c r="F53" s="88"/>
      <c r="G53" s="88"/>
      <c r="H53" s="88"/>
      <c r="I53" s="38"/>
      <c r="J53" s="19"/>
    </row>
    <row r="54" spans="3:12">
      <c r="C54" s="385" t="s">
        <v>13</v>
      </c>
      <c r="D54" s="387" t="s">
        <v>132</v>
      </c>
      <c r="E54" s="388"/>
      <c r="F54" s="388"/>
      <c r="G54" s="388"/>
      <c r="H54" s="388"/>
      <c r="I54" s="19"/>
      <c r="J54" s="19"/>
    </row>
    <row r="55" spans="3:12">
      <c r="C55" s="386"/>
      <c r="D55" s="116" t="s">
        <v>14</v>
      </c>
      <c r="E55" s="117" t="s">
        <v>15</v>
      </c>
      <c r="F55" s="117" t="s">
        <v>5</v>
      </c>
      <c r="G55" s="117" t="s">
        <v>16</v>
      </c>
      <c r="H55" s="117" t="s">
        <v>72</v>
      </c>
      <c r="I55" s="19"/>
      <c r="J55" s="19"/>
    </row>
    <row r="56" spans="3:12">
      <c r="C56" s="222" t="s">
        <v>10</v>
      </c>
      <c r="D56" s="226">
        <f>Resumen!F14-PorZona!D58</f>
        <v>69.959880097499948</v>
      </c>
      <c r="E56" s="227">
        <v>124.5936891118167</v>
      </c>
      <c r="F56" s="227">
        <v>0</v>
      </c>
      <c r="G56" s="227">
        <v>57.413730032639933</v>
      </c>
      <c r="H56" s="227">
        <f>SUM(D56:G56)</f>
        <v>251.9672992419566</v>
      </c>
      <c r="I56" s="395"/>
      <c r="K56" s="327"/>
      <c r="L56" s="342"/>
    </row>
    <row r="57" spans="3:12">
      <c r="C57" s="223" t="s">
        <v>9</v>
      </c>
      <c r="D57" s="228">
        <v>0</v>
      </c>
      <c r="E57" s="229">
        <v>2149.4926931847808</v>
      </c>
      <c r="F57" s="229">
        <v>0</v>
      </c>
      <c r="G57" s="229">
        <v>1749.9297903863344</v>
      </c>
      <c r="H57" s="229">
        <f>SUM(D57:G57)</f>
        <v>3899.4224835711152</v>
      </c>
      <c r="I57" s="395"/>
      <c r="K57" s="327"/>
      <c r="L57" s="342"/>
    </row>
    <row r="58" spans="3:12">
      <c r="C58" s="223" t="s">
        <v>12</v>
      </c>
      <c r="D58" s="228">
        <v>58.577699565000003</v>
      </c>
      <c r="E58" s="229">
        <v>354.13546306405283</v>
      </c>
      <c r="F58" s="229">
        <f>Resumen!D15</f>
        <v>75.155877332499983</v>
      </c>
      <c r="G58" s="229">
        <v>37.614852051521268</v>
      </c>
      <c r="H58" s="229">
        <f>SUM(D58:G58)</f>
        <v>525.48389201307407</v>
      </c>
      <c r="I58" s="395"/>
      <c r="K58" s="327"/>
      <c r="L58" s="342"/>
    </row>
    <row r="59" spans="3:12">
      <c r="C59" s="224" t="s">
        <v>11</v>
      </c>
      <c r="D59" s="230">
        <v>0</v>
      </c>
      <c r="E59" s="231">
        <v>0</v>
      </c>
      <c r="F59" s="231">
        <v>0</v>
      </c>
      <c r="G59" s="231">
        <f>E13</f>
        <v>80.892561169054943</v>
      </c>
      <c r="H59" s="231">
        <f>SUM(D59:G59)</f>
        <v>80.892561169054943</v>
      </c>
      <c r="I59" s="395"/>
      <c r="K59" s="19"/>
      <c r="L59" s="342"/>
    </row>
    <row r="60" spans="3:12" ht="13.5" thickBot="1">
      <c r="C60" s="118" t="s">
        <v>114</v>
      </c>
      <c r="D60" s="232">
        <f>SUM(D56:D59)</f>
        <v>128.53757966249995</v>
      </c>
      <c r="E60" s="233">
        <f>SUM(E56:E59)</f>
        <v>2628.2218453606501</v>
      </c>
      <c r="F60" s="233">
        <f>SUM(F56:F59)</f>
        <v>75.155877332499983</v>
      </c>
      <c r="G60" s="233">
        <f>SUM(G56:G59)</f>
        <v>1925.8509336395505</v>
      </c>
      <c r="H60" s="233">
        <f>SUM(H56:H59)</f>
        <v>4757.766235995201</v>
      </c>
      <c r="I60" s="19"/>
      <c r="J60" s="19"/>
    </row>
    <row r="61" spans="3:12" ht="6.75" customHeight="1">
      <c r="C61" s="19"/>
      <c r="D61" s="19"/>
      <c r="E61" s="19"/>
      <c r="F61" s="19"/>
      <c r="G61" s="19"/>
      <c r="H61" s="19"/>
      <c r="I61" s="19"/>
      <c r="J61" s="19"/>
    </row>
    <row r="62" spans="3:12">
      <c r="C62" s="19"/>
      <c r="D62" s="19"/>
      <c r="E62" s="19"/>
      <c r="F62" s="19"/>
      <c r="G62" s="19"/>
      <c r="H62" s="19"/>
      <c r="I62" s="19"/>
      <c r="J62" s="19"/>
    </row>
    <row r="63" spans="3:12">
      <c r="C63" s="19"/>
      <c r="D63" s="19"/>
      <c r="E63" s="19"/>
      <c r="F63" s="19"/>
      <c r="G63" s="19"/>
      <c r="H63" s="19"/>
      <c r="I63" s="19"/>
      <c r="J63" s="19"/>
    </row>
    <row r="64" spans="3:12">
      <c r="H64" s="125"/>
    </row>
    <row r="65" spans="5:5">
      <c r="E65" s="125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Normal="100" zoomScaleSheetLayoutView="10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4"/>
      <c r="L1" s="44"/>
      <c r="M1" s="45"/>
      <c r="N1" s="45"/>
      <c r="O1" s="45"/>
      <c r="P1" s="45"/>
      <c r="Q1" s="45"/>
      <c r="R1" s="45"/>
    </row>
    <row r="2" spans="3:19" ht="15">
      <c r="C2" s="23" t="s">
        <v>106</v>
      </c>
      <c r="D2" s="3"/>
      <c r="E2" s="23"/>
      <c r="F2" s="23"/>
      <c r="G2" s="23"/>
      <c r="H2" s="23"/>
      <c r="I2" s="23"/>
      <c r="J2" s="23"/>
      <c r="K2" s="4"/>
      <c r="L2" s="4"/>
      <c r="M2" s="46"/>
      <c r="N2" s="46"/>
      <c r="O2" s="46"/>
      <c r="P2" s="46"/>
      <c r="Q2" s="46"/>
      <c r="R2" s="46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6"/>
      <c r="N3" s="46"/>
      <c r="O3" s="46"/>
      <c r="P3" s="46"/>
      <c r="Q3" s="46"/>
      <c r="R3" s="46"/>
    </row>
    <row r="4" spans="3:19" ht="15">
      <c r="C4" s="10" t="s">
        <v>102</v>
      </c>
      <c r="D4" s="3"/>
      <c r="E4" s="23"/>
      <c r="F4" s="23"/>
      <c r="G4" s="23"/>
      <c r="H4" s="23"/>
      <c r="I4" s="23"/>
      <c r="J4" s="23"/>
      <c r="K4" s="4"/>
      <c r="L4" s="4"/>
      <c r="M4" s="46"/>
      <c r="N4" s="46"/>
      <c r="O4" s="46"/>
      <c r="P4" s="46"/>
      <c r="Q4" s="46"/>
      <c r="R4" s="46"/>
    </row>
    <row r="5" spans="3:19" ht="13.5" thickBot="1">
      <c r="C5"/>
      <c r="D5"/>
      <c r="E5"/>
      <c r="F5"/>
      <c r="G5"/>
    </row>
    <row r="6" spans="3:19" ht="12.75" customHeight="1">
      <c r="C6" s="111" t="s">
        <v>61</v>
      </c>
      <c r="D6" s="392" t="s">
        <v>127</v>
      </c>
      <c r="E6" s="393"/>
      <c r="F6" s="380" t="s">
        <v>75</v>
      </c>
      <c r="G6" s="378" t="s">
        <v>128</v>
      </c>
      <c r="H6" s="379"/>
      <c r="I6" s="380" t="s">
        <v>75</v>
      </c>
      <c r="O6" s="48"/>
      <c r="P6" s="87"/>
      <c r="Q6" s="394" t="s">
        <v>125</v>
      </c>
      <c r="R6" s="394"/>
    </row>
    <row r="7" spans="3:19" ht="12.75" customHeight="1">
      <c r="C7" s="112"/>
      <c r="D7" s="113">
        <v>2018</v>
      </c>
      <c r="E7" s="99">
        <v>2019</v>
      </c>
      <c r="F7" s="381"/>
      <c r="G7" s="252">
        <v>2018</v>
      </c>
      <c r="H7" s="99">
        <v>2019</v>
      </c>
      <c r="I7" s="381"/>
      <c r="N7" s="55"/>
      <c r="O7" s="339">
        <v>2018</v>
      </c>
      <c r="P7" s="341">
        <v>2019</v>
      </c>
      <c r="Q7" s="55">
        <v>2018</v>
      </c>
      <c r="R7" s="55">
        <v>2019</v>
      </c>
    </row>
    <row r="8" spans="3:19" ht="20.100000000000001" customHeight="1">
      <c r="C8" s="120" t="s">
        <v>17</v>
      </c>
      <c r="D8" s="234">
        <v>6.0313810000000005</v>
      </c>
      <c r="E8" s="300">
        <v>3.8077415841312301</v>
      </c>
      <c r="F8" s="236">
        <f>+E8/D8-1</f>
        <v>-0.36867832025016667</v>
      </c>
      <c r="G8" s="253">
        <v>61.887732999999997</v>
      </c>
      <c r="H8" s="300">
        <v>50.638217584131219</v>
      </c>
      <c r="I8" s="236">
        <f>+H8/G8-1</f>
        <v>-0.18177294385413634</v>
      </c>
      <c r="J8" s="26"/>
      <c r="K8" s="47"/>
      <c r="L8" s="47"/>
      <c r="N8" s="58" t="s">
        <v>10</v>
      </c>
      <c r="O8" s="72">
        <f>SUM(D8,D13,D20,D21,D27,D29,D31)</f>
        <v>315.85436297530458</v>
      </c>
      <c r="P8" s="72">
        <f t="shared" ref="P8" si="0">SUM(E8,E13,E20,E21,E27,E29,E31)</f>
        <v>251.9672992419566</v>
      </c>
      <c r="Q8" s="72">
        <f>SUM(G8,G13,G20,G21,G27,G29,G31)</f>
        <v>2905.3182722215929</v>
      </c>
      <c r="R8" s="72">
        <f>SUM(H8,H13,H20,H21,H27,H29,H31)</f>
        <v>3110.8151757751302</v>
      </c>
    </row>
    <row r="9" spans="3:19" ht="20.100000000000001" customHeight="1">
      <c r="C9" s="121" t="s">
        <v>18</v>
      </c>
      <c r="D9" s="235">
        <v>232.85469070000002</v>
      </c>
      <c r="E9" s="301">
        <v>111.29135067937814</v>
      </c>
      <c r="F9" s="237">
        <f t="shared" ref="F9:F32" si="1">+E9/D9-1</f>
        <v>-0.52205665110366561</v>
      </c>
      <c r="G9" s="254">
        <v>2013.8242118196279</v>
      </c>
      <c r="H9" s="301">
        <v>1912.6720312243779</v>
      </c>
      <c r="I9" s="316">
        <f t="shared" ref="I9:I32" si="2">+H9/G9-1</f>
        <v>-5.0228902801725761E-2</v>
      </c>
      <c r="J9" s="26"/>
      <c r="K9" s="47"/>
      <c r="L9" s="47"/>
      <c r="N9" s="58" t="s">
        <v>9</v>
      </c>
      <c r="O9" s="339">
        <f>SUM(D9,D14,D16,D17,D19,D22,D26,D32)</f>
        <v>3617.2212874567131</v>
      </c>
      <c r="P9" s="339">
        <f>SUM(E9,E14,E16,E17,E19,E22,E26,E32)</f>
        <v>3899.4224835711152</v>
      </c>
      <c r="Q9" s="339">
        <f>SUM(G9,G14,G16,G17,G19,G22,G26,G32)</f>
        <v>40118.552200120466</v>
      </c>
      <c r="R9" s="339">
        <f>SUM(H9,H14,H16,H17,H19,H22,H26,H32)</f>
        <v>41961.201838895126</v>
      </c>
    </row>
    <row r="10" spans="3:19" ht="20.100000000000001" customHeight="1">
      <c r="C10" s="122" t="s">
        <v>19</v>
      </c>
      <c r="D10" s="235">
        <v>3.3989297554141085</v>
      </c>
      <c r="E10" s="301">
        <v>2.6823106027220578</v>
      </c>
      <c r="F10" s="237">
        <f t="shared" si="1"/>
        <v>-0.21083670574555358</v>
      </c>
      <c r="G10" s="254">
        <v>43.044278793695341</v>
      </c>
      <c r="H10" s="301">
        <v>38.457730162630462</v>
      </c>
      <c r="I10" s="237">
        <f t="shared" si="2"/>
        <v>-0.10655419859739101</v>
      </c>
      <c r="J10" s="26"/>
      <c r="K10" s="47"/>
      <c r="L10" s="47"/>
      <c r="N10" s="55" t="s">
        <v>12</v>
      </c>
      <c r="O10" s="339">
        <f>SUM(D10,D11,D12,D15,D18,D24,D25,D28,D30)</f>
        <v>622.31967359752457</v>
      </c>
      <c r="P10" s="339">
        <f t="shared" ref="P10" si="3">SUM(E10,E11,E12,E15,E18,E24,E25,E28,E30)</f>
        <v>525.48389201307407</v>
      </c>
      <c r="Q10" s="339">
        <f>SUM(G10,G11,G12,G15,G18,G24,G25,G28,G30)</f>
        <v>6180.8007825557161</v>
      </c>
      <c r="R10" s="339">
        <f>SUM(H10,H11,H12,H15,H18,H24,H25,H28,H30)</f>
        <v>6166.3657070767003</v>
      </c>
    </row>
    <row r="11" spans="3:19" ht="20.100000000000001" customHeight="1">
      <c r="C11" s="121" t="s">
        <v>20</v>
      </c>
      <c r="D11" s="235">
        <v>94.451882675338439</v>
      </c>
      <c r="E11" s="301">
        <v>94.594395305602347</v>
      </c>
      <c r="F11" s="316">
        <f t="shared" si="1"/>
        <v>1.5088384289148049E-3</v>
      </c>
      <c r="G11" s="254">
        <v>1126.8428361027468</v>
      </c>
      <c r="H11" s="301">
        <v>1095.866200799358</v>
      </c>
      <c r="I11" s="237">
        <f t="shared" si="2"/>
        <v>-2.7489756611066785E-2</v>
      </c>
      <c r="J11" s="26"/>
      <c r="K11" s="47"/>
      <c r="L11" s="47"/>
      <c r="N11" s="340" t="s">
        <v>11</v>
      </c>
      <c r="O11" s="72">
        <f>D23</f>
        <v>87.584656733333333</v>
      </c>
      <c r="P11" s="72">
        <f t="shared" ref="P11" si="4">E23</f>
        <v>80.892561169054943</v>
      </c>
      <c r="Q11" s="72">
        <f>G23</f>
        <v>850.03781920273434</v>
      </c>
      <c r="R11" s="72">
        <f>H23</f>
        <v>788.04228315238822</v>
      </c>
    </row>
    <row r="12" spans="3:19" ht="20.100000000000001" customHeight="1">
      <c r="C12" s="121" t="s">
        <v>21</v>
      </c>
      <c r="D12" s="235">
        <v>0.77566944260529425</v>
      </c>
      <c r="E12" s="301">
        <v>0.86834333179693612</v>
      </c>
      <c r="F12" s="237">
        <f t="shared" si="1"/>
        <v>0.11947600885290988</v>
      </c>
      <c r="G12" s="254">
        <v>14.264118975940148</v>
      </c>
      <c r="H12" s="301">
        <v>8.6847258175938471</v>
      </c>
      <c r="I12" s="237">
        <f t="shared" si="2"/>
        <v>-0.3911488096641148</v>
      </c>
      <c r="J12" s="26"/>
      <c r="K12" s="47"/>
      <c r="L12" s="47"/>
      <c r="N12" s="8"/>
      <c r="O12" s="48"/>
      <c r="P12" s="87"/>
      <c r="Q12" s="48"/>
      <c r="R12" s="48"/>
      <c r="S12" s="48"/>
    </row>
    <row r="13" spans="3:19" ht="20.100000000000001" customHeight="1">
      <c r="C13" s="121" t="s">
        <v>22</v>
      </c>
      <c r="D13" s="235">
        <v>117.51187791183199</v>
      </c>
      <c r="E13" s="301">
        <v>50.540237822106796</v>
      </c>
      <c r="F13" s="237">
        <f t="shared" si="1"/>
        <v>-0.56991379322499935</v>
      </c>
      <c r="G13" s="254">
        <v>919.61942011534188</v>
      </c>
      <c r="H13" s="301">
        <v>962.11876261860073</v>
      </c>
      <c r="I13" s="237">
        <f t="shared" si="2"/>
        <v>4.6214055046737146E-2</v>
      </c>
      <c r="J13" s="26"/>
      <c r="K13" s="47"/>
      <c r="L13" s="47"/>
      <c r="O13" s="48"/>
      <c r="P13" s="87"/>
      <c r="Q13" s="48"/>
      <c r="R13" s="48"/>
      <c r="S13" s="48"/>
    </row>
    <row r="14" spans="3:19" ht="20.100000000000001" customHeight="1">
      <c r="C14" s="121" t="s">
        <v>60</v>
      </c>
      <c r="D14" s="235">
        <v>283.95671752004318</v>
      </c>
      <c r="E14" s="301">
        <v>328.66955183223638</v>
      </c>
      <c r="F14" s="237">
        <f t="shared" si="1"/>
        <v>0.15746355537102974</v>
      </c>
      <c r="G14" s="254">
        <v>3084.6481378577619</v>
      </c>
      <c r="H14" s="301">
        <v>3159.4283036328447</v>
      </c>
      <c r="I14" s="237">
        <f t="shared" si="2"/>
        <v>2.4242689095494763E-2</v>
      </c>
      <c r="J14" s="19"/>
      <c r="K14" s="47"/>
      <c r="L14" s="47"/>
      <c r="O14" s="48"/>
      <c r="P14" s="87"/>
      <c r="Q14" s="48"/>
      <c r="R14" s="48"/>
      <c r="S14" s="48"/>
    </row>
    <row r="15" spans="3:19" ht="20.100000000000001" customHeight="1">
      <c r="C15" s="121" t="s">
        <v>23</v>
      </c>
      <c r="D15" s="235">
        <v>186.62830506666668</v>
      </c>
      <c r="E15" s="301">
        <v>139.89565010449024</v>
      </c>
      <c r="F15" s="237">
        <f t="shared" si="1"/>
        <v>-0.25040496909342225</v>
      </c>
      <c r="G15" s="254">
        <v>1931.5812887333334</v>
      </c>
      <c r="H15" s="301">
        <v>1834.8339728886572</v>
      </c>
      <c r="I15" s="316">
        <f t="shared" si="2"/>
        <v>-5.008710552798934E-2</v>
      </c>
      <c r="J15" s="19"/>
      <c r="K15" s="47"/>
      <c r="L15" s="47"/>
      <c r="O15" s="48"/>
      <c r="P15" s="87"/>
      <c r="Q15" s="48"/>
      <c r="R15" s="48"/>
      <c r="S15" s="48"/>
    </row>
    <row r="16" spans="3:19" ht="20.100000000000001" customHeight="1">
      <c r="C16" s="121" t="s">
        <v>24</v>
      </c>
      <c r="D16" s="235">
        <v>874.45677999999987</v>
      </c>
      <c r="E16" s="301">
        <v>776.86202707368295</v>
      </c>
      <c r="F16" s="237">
        <f t="shared" si="1"/>
        <v>-0.11160614813497927</v>
      </c>
      <c r="G16" s="254">
        <v>9525.0478050281235</v>
      </c>
      <c r="H16" s="301">
        <v>9249.1636045920204</v>
      </c>
      <c r="I16" s="332">
        <f t="shared" si="2"/>
        <v>-2.8964075150412216E-2</v>
      </c>
      <c r="J16" s="19"/>
      <c r="K16" s="47"/>
      <c r="L16" s="47"/>
      <c r="N16" s="8"/>
      <c r="O16" s="48"/>
      <c r="P16" s="87"/>
      <c r="Q16" s="48"/>
      <c r="R16" s="48"/>
      <c r="S16" s="48"/>
    </row>
    <row r="17" spans="3:19" ht="20.100000000000001" customHeight="1">
      <c r="C17" s="121" t="s">
        <v>25</v>
      </c>
      <c r="D17" s="235">
        <v>284.57716213333333</v>
      </c>
      <c r="E17" s="301">
        <v>88.596091460037528</v>
      </c>
      <c r="F17" s="237">
        <f t="shared" si="1"/>
        <v>-0.68867462590505601</v>
      </c>
      <c r="G17" s="254">
        <v>2390.541638546822</v>
      </c>
      <c r="H17" s="301">
        <v>2043.8837730808709</v>
      </c>
      <c r="I17" s="316">
        <f t="shared" si="2"/>
        <v>-0.14501226829777358</v>
      </c>
      <c r="J17" s="19"/>
      <c r="K17" s="47"/>
      <c r="L17" s="47"/>
      <c r="M17" s="8"/>
      <c r="N17" s="8"/>
      <c r="O17" s="48"/>
      <c r="P17" s="87"/>
      <c r="Q17" s="48"/>
      <c r="R17" s="48"/>
      <c r="S17" s="48"/>
    </row>
    <row r="18" spans="3:19" ht="20.100000000000001" customHeight="1">
      <c r="C18" s="121" t="s">
        <v>26</v>
      </c>
      <c r="D18" s="235">
        <v>150.15263406666668</v>
      </c>
      <c r="E18" s="301">
        <v>141.5090924282776</v>
      </c>
      <c r="F18" s="237">
        <f t="shared" si="1"/>
        <v>-5.7565035019974453E-2</v>
      </c>
      <c r="G18" s="254">
        <v>1444.6287077333334</v>
      </c>
      <c r="H18" s="301">
        <v>1555.8283887949442</v>
      </c>
      <c r="I18" s="237">
        <f t="shared" si="2"/>
        <v>7.6974575173773596E-2</v>
      </c>
      <c r="J18" s="19"/>
      <c r="K18" s="47"/>
      <c r="L18" s="47"/>
      <c r="O18" s="48"/>
      <c r="P18" s="87"/>
      <c r="Q18" s="48"/>
      <c r="R18" s="48"/>
      <c r="S18" s="48"/>
    </row>
    <row r="19" spans="3:19" ht="20.100000000000001" customHeight="1">
      <c r="C19" s="121" t="s">
        <v>27</v>
      </c>
      <c r="D19" s="235">
        <v>284.21987446666668</v>
      </c>
      <c r="E19" s="301">
        <v>183.04344523599664</v>
      </c>
      <c r="F19" s="237">
        <f t="shared" si="1"/>
        <v>-0.35597943113769126</v>
      </c>
      <c r="G19" s="254">
        <v>2945.9158486333336</v>
      </c>
      <c r="H19" s="301">
        <v>2555.2436602026632</v>
      </c>
      <c r="I19" s="316">
        <f t="shared" si="2"/>
        <v>-0.13261485001749473</v>
      </c>
      <c r="J19" s="19"/>
      <c r="K19" s="47"/>
      <c r="L19" s="47"/>
      <c r="M19" s="8"/>
      <c r="N19" s="8"/>
      <c r="P19" s="12"/>
      <c r="Q19" s="48"/>
      <c r="R19" s="48"/>
      <c r="S19" s="48"/>
    </row>
    <row r="20" spans="3:19" ht="20.100000000000001" customHeight="1">
      <c r="C20" s="121" t="s">
        <v>28</v>
      </c>
      <c r="D20" s="235">
        <v>67.42260114846728</v>
      </c>
      <c r="E20" s="301">
        <v>62.395397177479246</v>
      </c>
      <c r="F20" s="237">
        <f t="shared" si="1"/>
        <v>-7.4562593037873603E-2</v>
      </c>
      <c r="G20" s="254">
        <v>614.44196068824476</v>
      </c>
      <c r="H20" s="301">
        <v>672.54393892910548</v>
      </c>
      <c r="I20" s="237">
        <f t="shared" si="2"/>
        <v>9.456056382571898E-2</v>
      </c>
      <c r="J20" s="19"/>
      <c r="K20" s="47"/>
      <c r="L20" s="47"/>
      <c r="O20" s="48"/>
      <c r="P20" s="87"/>
      <c r="Q20" s="48"/>
      <c r="R20" s="48"/>
      <c r="S20" s="48"/>
    </row>
    <row r="21" spans="3:19" ht="20.100000000000001" customHeight="1">
      <c r="C21" s="121" t="s">
        <v>29</v>
      </c>
      <c r="D21" s="235">
        <v>5.227089516666668</v>
      </c>
      <c r="E21" s="301">
        <v>6.3235780316646304</v>
      </c>
      <c r="F21" s="237">
        <f t="shared" si="1"/>
        <v>0.20977037249922525</v>
      </c>
      <c r="G21" s="254">
        <v>56.947770183333347</v>
      </c>
      <c r="H21" s="301">
        <v>60.111474303331299</v>
      </c>
      <c r="I21" s="237">
        <f t="shared" si="2"/>
        <v>5.5554486326909069E-2</v>
      </c>
      <c r="J21" s="26"/>
      <c r="K21" s="47"/>
      <c r="L21" s="47"/>
      <c r="O21" s="48"/>
      <c r="P21" s="87"/>
      <c r="Q21" s="48"/>
      <c r="R21" s="48"/>
      <c r="S21" s="48"/>
    </row>
    <row r="22" spans="3:19" ht="20.100000000000001" customHeight="1">
      <c r="C22" s="121" t="s">
        <v>30</v>
      </c>
      <c r="D22" s="235">
        <v>1564.7118625533369</v>
      </c>
      <c r="E22" s="301">
        <v>2291.7923792314336</v>
      </c>
      <c r="F22" s="237">
        <f t="shared" si="1"/>
        <v>0.46467374222601476</v>
      </c>
      <c r="G22" s="254">
        <v>18887.696535818137</v>
      </c>
      <c r="H22" s="301">
        <v>21804.001374531792</v>
      </c>
      <c r="I22" s="237">
        <f t="shared" si="2"/>
        <v>0.15440235569134919</v>
      </c>
      <c r="J22" s="26"/>
      <c r="K22" s="47"/>
      <c r="L22" s="47"/>
      <c r="O22" s="48"/>
      <c r="P22" s="87"/>
      <c r="Q22" s="48"/>
      <c r="R22" s="48"/>
      <c r="S22" s="48"/>
    </row>
    <row r="23" spans="3:19" ht="20.100000000000001" customHeight="1">
      <c r="C23" s="121" t="s">
        <v>31</v>
      </c>
      <c r="D23" s="235">
        <v>87.584656733333333</v>
      </c>
      <c r="E23" s="301">
        <v>80.892561169054943</v>
      </c>
      <c r="F23" s="237">
        <f t="shared" si="1"/>
        <v>-7.6407167806270437E-2</v>
      </c>
      <c r="G23" s="254">
        <v>850.03781920273434</v>
      </c>
      <c r="H23" s="301">
        <v>788.04228315238822</v>
      </c>
      <c r="I23" s="237">
        <f t="shared" si="2"/>
        <v>-7.2932679758287544E-2</v>
      </c>
      <c r="J23" s="26"/>
      <c r="K23" s="47"/>
      <c r="L23" s="47"/>
      <c r="M23" s="8"/>
      <c r="O23" s="48"/>
      <c r="P23" s="48"/>
      <c r="Q23" s="48"/>
      <c r="R23" s="48"/>
      <c r="S23" s="48"/>
    </row>
    <row r="24" spans="3:19" ht="20.100000000000001" customHeight="1">
      <c r="C24" s="121" t="s">
        <v>32</v>
      </c>
      <c r="D24" s="235">
        <v>0.11789100000000001</v>
      </c>
      <c r="E24" s="333">
        <v>0.25115757662314236</v>
      </c>
      <c r="F24" s="237">
        <f t="shared" si="1"/>
        <v>1.1304219713391381</v>
      </c>
      <c r="G24" s="254">
        <v>1.8048150000000005</v>
      </c>
      <c r="H24" s="301">
        <v>2.0102567716231428</v>
      </c>
      <c r="I24" s="237">
        <f t="shared" si="2"/>
        <v>0.11382982279244258</v>
      </c>
      <c r="J24" s="26"/>
      <c r="K24" s="47"/>
      <c r="L24" s="47"/>
      <c r="O24" s="48"/>
      <c r="P24" s="87"/>
      <c r="Q24" s="48"/>
      <c r="R24" s="48"/>
      <c r="S24" s="48"/>
    </row>
    <row r="25" spans="3:19" ht="20.100000000000001" customHeight="1">
      <c r="C25" s="121" t="s">
        <v>33</v>
      </c>
      <c r="D25" s="235">
        <v>68.042714333333336</v>
      </c>
      <c r="E25" s="301">
        <v>67.78043286967501</v>
      </c>
      <c r="F25" s="237">
        <f t="shared" si="1"/>
        <v>-3.854659036284791E-3</v>
      </c>
      <c r="G25" s="254">
        <v>653.57479766666654</v>
      </c>
      <c r="H25" s="301">
        <v>639.7961548155082</v>
      </c>
      <c r="I25" s="237">
        <f t="shared" si="2"/>
        <v>-2.1081967818143532E-2</v>
      </c>
      <c r="J25" s="26"/>
      <c r="K25" s="47"/>
      <c r="L25" s="47"/>
      <c r="N25" s="8"/>
      <c r="P25" s="12"/>
      <c r="Q25" s="48"/>
      <c r="R25" s="48"/>
      <c r="S25" s="48"/>
    </row>
    <row r="26" spans="3:19" ht="20.100000000000001" customHeight="1">
      <c r="C26" s="121" t="s">
        <v>34</v>
      </c>
      <c r="D26" s="235">
        <v>90.54531575</v>
      </c>
      <c r="E26" s="301">
        <v>59.310961209802777</v>
      </c>
      <c r="F26" s="237">
        <f t="shared" si="1"/>
        <v>-0.34495825964577542</v>
      </c>
      <c r="G26" s="254">
        <v>901.56139974999996</v>
      </c>
      <c r="H26" s="301">
        <v>853.10081855117778</v>
      </c>
      <c r="I26" s="237">
        <f t="shared" si="2"/>
        <v>-5.3751836771472439E-2</v>
      </c>
      <c r="J26" s="26"/>
      <c r="K26" s="47"/>
      <c r="L26" s="47"/>
      <c r="O26" s="48"/>
      <c r="P26" s="87"/>
      <c r="Q26" s="48"/>
      <c r="R26" s="48"/>
      <c r="S26" s="48"/>
    </row>
    <row r="27" spans="3:19" ht="20.100000000000001" customHeight="1">
      <c r="C27" s="121" t="s">
        <v>35</v>
      </c>
      <c r="D27" s="235">
        <v>113.05667339833867</v>
      </c>
      <c r="E27" s="301">
        <v>125.51328842498452</v>
      </c>
      <c r="F27" s="237">
        <f t="shared" si="1"/>
        <v>0.11018027200178437</v>
      </c>
      <c r="G27" s="254">
        <v>1190.350407234673</v>
      </c>
      <c r="H27" s="301">
        <v>1310.4161264133711</v>
      </c>
      <c r="I27" s="237">
        <f t="shared" si="2"/>
        <v>0.10086586138750953</v>
      </c>
      <c r="J27" s="26"/>
      <c r="K27" s="47"/>
      <c r="L27" s="47"/>
      <c r="M27" s="8"/>
      <c r="N27" s="8"/>
      <c r="O27" s="48"/>
      <c r="P27" s="87"/>
      <c r="Q27" s="48"/>
      <c r="R27" s="48"/>
      <c r="S27" s="48"/>
    </row>
    <row r="28" spans="3:19" ht="20.100000000000001" customHeight="1">
      <c r="C28" s="121" t="s">
        <v>36</v>
      </c>
      <c r="D28" s="235">
        <v>105.19511325750001</v>
      </c>
      <c r="E28" s="301">
        <v>65.233074148587718</v>
      </c>
      <c r="F28" s="237">
        <f t="shared" si="1"/>
        <v>-0.37988493829643888</v>
      </c>
      <c r="G28" s="254">
        <v>819.61783455</v>
      </c>
      <c r="H28" s="301">
        <v>852.82289285858792</v>
      </c>
      <c r="I28" s="237">
        <f t="shared" si="2"/>
        <v>4.0512854782886354E-2</v>
      </c>
      <c r="J28" s="26"/>
      <c r="K28" s="47"/>
      <c r="L28" s="47"/>
      <c r="N28" s="8"/>
      <c r="P28" s="12"/>
      <c r="Q28" s="48"/>
      <c r="R28" s="48"/>
      <c r="S28" s="48"/>
    </row>
    <row r="29" spans="3:19" ht="20.100000000000001" customHeight="1">
      <c r="C29" s="121" t="s">
        <v>37</v>
      </c>
      <c r="D29" s="235">
        <v>5.3064219999999995</v>
      </c>
      <c r="E29" s="333">
        <v>2.2582352688028622</v>
      </c>
      <c r="F29" s="237">
        <f t="shared" si="1"/>
        <v>-0.57443353189722524</v>
      </c>
      <c r="G29" s="254">
        <v>47.305163999999998</v>
      </c>
      <c r="H29" s="301">
        <v>42.569885268802857</v>
      </c>
      <c r="I29" s="316">
        <f t="shared" si="2"/>
        <v>-0.10010067254385047</v>
      </c>
      <c r="J29" s="26"/>
      <c r="K29" s="47"/>
      <c r="L29" s="47"/>
      <c r="O29" s="48"/>
      <c r="P29" s="87"/>
      <c r="Q29" s="48"/>
      <c r="R29" s="48"/>
      <c r="S29" s="48"/>
    </row>
    <row r="30" spans="3:19" ht="20.100000000000001" customHeight="1">
      <c r="C30" s="121" t="s">
        <v>38</v>
      </c>
      <c r="D30" s="235">
        <v>13.556533999999999</v>
      </c>
      <c r="E30" s="301">
        <v>12.669435645299011</v>
      </c>
      <c r="F30" s="237">
        <f t="shared" si="1"/>
        <v>-6.5436958643041665E-2</v>
      </c>
      <c r="G30" s="254">
        <v>145.44210499999997</v>
      </c>
      <c r="H30" s="301">
        <v>138.06538416779904</v>
      </c>
      <c r="I30" s="237">
        <f t="shared" si="2"/>
        <v>-5.0719293647468411E-2</v>
      </c>
      <c r="J30" s="26"/>
      <c r="K30" s="47"/>
      <c r="L30" s="47"/>
      <c r="N30" s="8"/>
      <c r="P30" s="12"/>
      <c r="Q30" s="48"/>
      <c r="R30" s="48"/>
      <c r="S30" s="48"/>
    </row>
    <row r="31" spans="3:19" ht="20.100000000000001" customHeight="1">
      <c r="C31" s="121" t="s">
        <v>39</v>
      </c>
      <c r="D31" s="235">
        <v>1.2983180000000003</v>
      </c>
      <c r="E31" s="301">
        <v>1.1288209327873437</v>
      </c>
      <c r="F31" s="237">
        <f>+E31/D31-1</f>
        <v>-0.13055127265635735</v>
      </c>
      <c r="G31" s="254">
        <v>14.765817000000002</v>
      </c>
      <c r="H31" s="301">
        <v>12.416770657787346</v>
      </c>
      <c r="I31" s="237">
        <f t="shared" si="2"/>
        <v>-0.15908678417270483</v>
      </c>
      <c r="J31" s="26"/>
      <c r="K31" s="47"/>
      <c r="L31" s="47"/>
      <c r="P31" s="12"/>
      <c r="Q31" s="48"/>
      <c r="R31" s="48"/>
      <c r="S31" s="48"/>
    </row>
    <row r="32" spans="3:19" ht="20.100000000000001" customHeight="1">
      <c r="C32" s="123" t="s">
        <v>40</v>
      </c>
      <c r="D32" s="225">
        <v>1.8988843333333334</v>
      </c>
      <c r="E32" s="302">
        <v>59.856676848547067</v>
      </c>
      <c r="F32" s="238">
        <f t="shared" si="1"/>
        <v>30.522023641889579</v>
      </c>
      <c r="G32" s="255">
        <v>369.31662266666672</v>
      </c>
      <c r="H32" s="302">
        <v>383.70827307938043</v>
      </c>
      <c r="I32" s="238">
        <f t="shared" si="2"/>
        <v>3.8968325630182044E-2</v>
      </c>
      <c r="J32" s="26"/>
      <c r="K32" s="47"/>
      <c r="L32" s="47"/>
      <c r="M32" s="8"/>
      <c r="N32" s="8"/>
      <c r="O32" s="48"/>
      <c r="P32" s="87"/>
      <c r="Q32" s="48"/>
      <c r="R32" s="48"/>
      <c r="S32" s="48"/>
    </row>
    <row r="33" spans="3:19" ht="16.5" customHeight="1" thickBot="1">
      <c r="C33" s="356" t="s">
        <v>114</v>
      </c>
      <c r="D33" s="114">
        <f>SUM(D8:D32)</f>
        <v>4642.9799807628769</v>
      </c>
      <c r="E33" s="303">
        <f>SUM(E8:E32)</f>
        <v>4757.7662359952001</v>
      </c>
      <c r="F33" s="119">
        <f>+E33/D33-1</f>
        <v>2.4722539340663374E-2</v>
      </c>
      <c r="G33" s="256">
        <f>SUM(G8:G32)</f>
        <v>50054.709074100509</v>
      </c>
      <c r="H33" s="303">
        <f>SUM(H8:H32)</f>
        <v>52026.425004899342</v>
      </c>
      <c r="I33" s="257">
        <f>+H33/G33-1</f>
        <v>3.9391217475261309E-2</v>
      </c>
      <c r="J33" s="26"/>
      <c r="K33" s="49"/>
      <c r="L33" s="8"/>
      <c r="N33" s="50"/>
      <c r="O33" s="48"/>
      <c r="P33" s="48"/>
      <c r="Q33" s="48"/>
      <c r="R33" s="48"/>
      <c r="S33" s="48"/>
    </row>
    <row r="34" spans="3:19">
      <c r="C34"/>
      <c r="D34"/>
      <c r="E34"/>
      <c r="F34"/>
      <c r="G34"/>
      <c r="J34" s="26"/>
      <c r="K34" s="49"/>
      <c r="L34" s="8"/>
      <c r="N34" s="50"/>
      <c r="O34" s="48"/>
      <c r="P34" s="48"/>
      <c r="Q34" s="48"/>
      <c r="R34" s="48"/>
      <c r="S34" s="48"/>
    </row>
    <row r="35" spans="3:19">
      <c r="C35"/>
      <c r="D35"/>
      <c r="E35"/>
      <c r="F35"/>
      <c r="G35"/>
      <c r="H35" s="26"/>
      <c r="I35" s="26"/>
      <c r="J35" s="26"/>
      <c r="K35" s="49"/>
      <c r="L35" s="8"/>
      <c r="O35" s="48"/>
      <c r="P35" s="48"/>
      <c r="Q35" s="48"/>
      <c r="R35" s="48"/>
      <c r="S35" s="48"/>
    </row>
    <row r="36" spans="3:19">
      <c r="C36" s="27" t="s">
        <v>129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0"/>
      <c r="O36" s="48"/>
      <c r="P36" s="48"/>
      <c r="Q36" s="48"/>
      <c r="R36" s="48"/>
      <c r="S36" s="48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8"/>
      <c r="P37" s="48"/>
      <c r="Q37" s="48"/>
      <c r="R37" s="48"/>
      <c r="S37" s="48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8"/>
      <c r="P38" s="48"/>
      <c r="Q38" s="48"/>
      <c r="R38" s="48"/>
      <c r="S38" s="48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8"/>
      <c r="P39" s="48"/>
      <c r="Q39" s="48"/>
      <c r="R39" s="48"/>
      <c r="S39" s="48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1" t="s">
        <v>43</v>
      </c>
      <c r="O43" s="5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2" t="s">
        <v>30</v>
      </c>
      <c r="O44" s="53">
        <v>2291.7923792314336</v>
      </c>
      <c r="P44" s="8"/>
      <c r="S44" s="92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1" t="s">
        <v>24</v>
      </c>
      <c r="O45" s="54">
        <v>776.86202707368295</v>
      </c>
      <c r="P45" s="8"/>
      <c r="S45" s="92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1" t="s">
        <v>60</v>
      </c>
      <c r="O46" s="54">
        <v>328.66955183223638</v>
      </c>
      <c r="P46" s="8"/>
      <c r="S46" s="92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2" t="s">
        <v>27</v>
      </c>
      <c r="O47" s="53">
        <v>183.04344523599664</v>
      </c>
      <c r="P47" s="8"/>
      <c r="S47" s="92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1" t="s">
        <v>26</v>
      </c>
      <c r="O48" s="54">
        <v>141.5090924282776</v>
      </c>
      <c r="P48" s="8"/>
      <c r="S48" s="92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1" t="s">
        <v>23</v>
      </c>
      <c r="O49" s="54">
        <v>139.89565010449024</v>
      </c>
      <c r="P49" s="8"/>
      <c r="S49" s="92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2" t="s">
        <v>35</v>
      </c>
      <c r="O50" s="53">
        <v>125.51328842498452</v>
      </c>
      <c r="P50" s="8"/>
      <c r="S50" s="92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1" t="s">
        <v>18</v>
      </c>
      <c r="O51" s="54">
        <v>111.29135067937814</v>
      </c>
      <c r="P51" s="8"/>
      <c r="S51" s="92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1" t="s">
        <v>20</v>
      </c>
      <c r="O52" s="54">
        <v>94.594395305602347</v>
      </c>
      <c r="P52" s="8"/>
      <c r="S52" s="92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1" t="s">
        <v>25</v>
      </c>
      <c r="O53" s="54">
        <v>88.596091460037528</v>
      </c>
      <c r="P53" s="8"/>
      <c r="S53" s="92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1" t="s">
        <v>31</v>
      </c>
      <c r="O54" s="54">
        <v>80.892561169054943</v>
      </c>
      <c r="P54" s="8"/>
      <c r="S54" s="92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2" t="s">
        <v>33</v>
      </c>
      <c r="O55" s="53">
        <v>67.78043286967501</v>
      </c>
      <c r="P55" s="8"/>
      <c r="S55" s="92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1" t="s">
        <v>36</v>
      </c>
      <c r="O56" s="54">
        <v>65.233074148587718</v>
      </c>
      <c r="P56" s="8"/>
      <c r="S56" s="92"/>
    </row>
    <row r="57" spans="3:19">
      <c r="N57" s="52" t="s">
        <v>28</v>
      </c>
      <c r="O57" s="53">
        <v>62.395397177479246</v>
      </c>
      <c r="S57" s="92"/>
    </row>
    <row r="58" spans="3:19">
      <c r="N58" s="52" t="s">
        <v>40</v>
      </c>
      <c r="O58" s="53">
        <v>59.856676848547067</v>
      </c>
      <c r="S58" s="124"/>
    </row>
    <row r="59" spans="3:19">
      <c r="N59" s="52" t="s">
        <v>34</v>
      </c>
      <c r="O59" s="53">
        <v>59.310961209802777</v>
      </c>
      <c r="S59" s="92"/>
    </row>
    <row r="60" spans="3:19">
      <c r="N60" s="52" t="s">
        <v>22</v>
      </c>
      <c r="O60" s="53">
        <v>50.540237822106796</v>
      </c>
      <c r="S60" s="92"/>
    </row>
    <row r="61" spans="3:19">
      <c r="N61" s="52" t="s">
        <v>38</v>
      </c>
      <c r="O61" s="53">
        <v>12.669435645299011</v>
      </c>
      <c r="S61" s="92"/>
    </row>
    <row r="62" spans="3:19">
      <c r="N62" s="52" t="s">
        <v>29</v>
      </c>
      <c r="O62" s="53">
        <v>6.3235780316646304</v>
      </c>
      <c r="S62" s="92"/>
    </row>
    <row r="63" spans="3:19">
      <c r="N63" s="51" t="s">
        <v>17</v>
      </c>
      <c r="O63" s="54">
        <v>3.8077415841312301</v>
      </c>
      <c r="S63" s="92"/>
    </row>
    <row r="64" spans="3:19">
      <c r="N64" s="51" t="s">
        <v>19</v>
      </c>
      <c r="O64" s="54">
        <v>2.6823106027220578</v>
      </c>
      <c r="S64" s="92"/>
    </row>
    <row r="65" spans="6:19">
      <c r="N65" s="51" t="s">
        <v>37</v>
      </c>
      <c r="O65" s="54">
        <v>2.2582352688028622</v>
      </c>
      <c r="S65" s="92"/>
    </row>
    <row r="66" spans="6:19">
      <c r="N66" s="51" t="s">
        <v>39</v>
      </c>
      <c r="O66" s="54">
        <v>1.1288209327873437</v>
      </c>
      <c r="S66" s="92"/>
    </row>
    <row r="67" spans="6:19">
      <c r="N67" s="52" t="s">
        <v>21</v>
      </c>
      <c r="O67" s="53">
        <v>0.86834333179693612</v>
      </c>
      <c r="S67" s="92"/>
    </row>
    <row r="68" spans="6:19">
      <c r="N68" s="9" t="s">
        <v>32</v>
      </c>
      <c r="O68" s="53">
        <v>0.25115757662314236</v>
      </c>
      <c r="S68" s="92"/>
    </row>
    <row r="70" spans="6:19">
      <c r="F70" s="82"/>
    </row>
    <row r="71" spans="6:19">
      <c r="F71" s="82"/>
    </row>
    <row r="72" spans="6:19">
      <c r="F72" s="82"/>
    </row>
    <row r="73" spans="6:19">
      <c r="F73" s="82"/>
    </row>
    <row r="74" spans="6:19">
      <c r="F74" s="82"/>
    </row>
    <row r="75" spans="6:19">
      <c r="F75" s="82"/>
    </row>
    <row r="76" spans="6:19">
      <c r="F76" s="82"/>
    </row>
    <row r="77" spans="6:19">
      <c r="F77" s="82"/>
    </row>
    <row r="78" spans="6:19">
      <c r="F78" s="82"/>
    </row>
    <row r="79" spans="6:19">
      <c r="F79" s="82"/>
    </row>
    <row r="80" spans="6:19">
      <c r="F80" s="82"/>
    </row>
    <row r="81" spans="6:6">
      <c r="F81" s="82"/>
    </row>
    <row r="82" spans="6:6">
      <c r="F82" s="82"/>
    </row>
    <row r="83" spans="6:6">
      <c r="F83" s="82"/>
    </row>
    <row r="84" spans="6:6">
      <c r="F84" s="82"/>
    </row>
    <row r="85" spans="6:6">
      <c r="F85" s="82"/>
    </row>
    <row r="86" spans="6:6">
      <c r="F86" s="82"/>
    </row>
    <row r="87" spans="6:6">
      <c r="F87" s="82"/>
    </row>
    <row r="88" spans="6:6">
      <c r="F88" s="82"/>
    </row>
    <row r="89" spans="6:6">
      <c r="F89" s="82"/>
    </row>
    <row r="90" spans="6:6">
      <c r="F90" s="82"/>
    </row>
    <row r="91" spans="6:6">
      <c r="F91" s="82"/>
    </row>
    <row r="92" spans="6:6">
      <c r="F92" s="82"/>
    </row>
    <row r="93" spans="6:6">
      <c r="F93" s="82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2019-12-12T17:04:46Z</dcterms:modified>
</cp:coreProperties>
</file>